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320" windowHeight="6480" activeTab="0"/>
  </bookViews>
  <sheets>
    <sheet name="ГАИП 2019" sheetId="1" r:id="rId1"/>
  </sheets>
  <definedNames>
    <definedName name="_xlnm.Print_Titles" localSheetId="0">'ГАИП 2019'!$16:$17</definedName>
    <definedName name="_xlnm.Print_Area" localSheetId="0">'ГАИП 2019'!$A$4:$I$375</definedName>
  </definedNames>
  <calcPr fullCalcOnLoad="1" refMode="R1C1"/>
</workbook>
</file>

<file path=xl/sharedStrings.xml><?xml version="1.0" encoding="utf-8"?>
<sst xmlns="http://schemas.openxmlformats.org/spreadsheetml/2006/main" count="812" uniqueCount="233">
  <si>
    <t>ВСЕГО</t>
  </si>
  <si>
    <t>Главный распорядитель бюджетных средств</t>
  </si>
  <si>
    <t>тыс. рублей</t>
  </si>
  <si>
    <t xml:space="preserve"> № п/п</t>
  </si>
  <si>
    <t>Наименование объекта</t>
  </si>
  <si>
    <t>Социальная политика</t>
  </si>
  <si>
    <t>Раздел, подраздел</t>
  </si>
  <si>
    <t xml:space="preserve">Управление жилищных отношений </t>
  </si>
  <si>
    <t>В.Ф. Ходырев</t>
  </si>
  <si>
    <t>1003</t>
  </si>
  <si>
    <t>I.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</si>
  <si>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</si>
  <si>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</si>
  <si>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1000</t>
  </si>
  <si>
    <t xml:space="preserve"> Образование </t>
  </si>
  <si>
    <t>Муниципальная программа городского округа город Воронеж "Развитие образования"</t>
  </si>
  <si>
    <t>Подпрограмма "Развитие общего и дополнительного образования"</t>
  </si>
  <si>
    <t>0709</t>
  </si>
  <si>
    <t>II.</t>
  </si>
  <si>
    <t>Управление строительной политики</t>
  </si>
  <si>
    <t>в том числе за счет средств:</t>
  </si>
  <si>
    <t>федерального бюджета</t>
  </si>
  <si>
    <t>областного бюджета</t>
  </si>
  <si>
    <t>бюджета городского округа</t>
  </si>
  <si>
    <t>0700</t>
  </si>
  <si>
    <t>1</t>
  </si>
  <si>
    <t>2</t>
  </si>
  <si>
    <t>3</t>
  </si>
  <si>
    <t>Социальное обеспечение населения</t>
  </si>
  <si>
    <t>к решению Воронежской</t>
  </si>
  <si>
    <t>городской Думы</t>
  </si>
  <si>
    <t xml:space="preserve"> Другие вопросы в области образования</t>
  </si>
  <si>
    <t>Председатель Воронежской
городской Думы</t>
  </si>
  <si>
    <t>Основное мероприятие "Обеспечение жилыми помещениями граждан, уволенных с военной службы (службы) и приравненных к ним лиц"</t>
  </si>
  <si>
    <t>Отклонение</t>
  </si>
  <si>
    <t>Общеобразовательная школа на 1101 место по адресу: г.Воронеж, жилой массив Олимпийский, 14</t>
  </si>
  <si>
    <t>Образовательная школа на 1224 места по ул. Артамонова в г.Воронеж</t>
  </si>
  <si>
    <t>г. Воронеж. Средняя школа на 1101 место по ул. Ф.Тютчева, 6</t>
  </si>
  <si>
    <t>4</t>
  </si>
  <si>
    <t>5</t>
  </si>
  <si>
    <t xml:space="preserve">Жилищно-коммунальное хозяйство                </t>
  </si>
  <si>
    <t>0500</t>
  </si>
  <si>
    <t xml:space="preserve">1.Жилищное хозяйство                </t>
  </si>
  <si>
    <t>0501</t>
  </si>
  <si>
    <t xml:space="preserve">  Подпрограмма "Переселение граждан из аварийного жилищного фонда"</t>
  </si>
  <si>
    <t xml:space="preserve"> 2. Другие вопросы в области жилищно-коммунального хозяйства</t>
  </si>
  <si>
    <t>0505</t>
  </si>
  <si>
    <t xml:space="preserve">Муниципальная программа "Обеспечение коммунальными услугами населения городского округа город Воронеж"                         </t>
  </si>
  <si>
    <t>Подпрограмма «Чистая вода»</t>
  </si>
  <si>
    <t>IV.</t>
  </si>
  <si>
    <t xml:space="preserve">Физическая культура и спорт </t>
  </si>
  <si>
    <t>Другие вопросы в области физической культуры и спорта</t>
  </si>
  <si>
    <t>1105</t>
  </si>
  <si>
    <t>Муниципальная  программа  городского округа город Воронеж "Развитие физической культуры и спорта"</t>
  </si>
  <si>
    <t xml:space="preserve">Реконструкция тренировочной площадки на стадионе "Чайка"  г. Воронеж ул. Краснознаменная, д. 101 </t>
  </si>
  <si>
    <t xml:space="preserve">Реконструкция тренировочной площадки на стадионе "Локомотив"  г. Воронеж ул. Нариманова, д. 2 </t>
  </si>
  <si>
    <t xml:space="preserve"> Средства федерального бюджета и бюджета Воронежской области</t>
  </si>
  <si>
    <t>Подпрограмма "Молодой семье – доступное жильё"</t>
  </si>
  <si>
    <t xml:space="preserve">2. Благоустройство
</t>
  </si>
  <si>
    <t>0503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</si>
  <si>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мкр. Подклетное, ул. Арбатская, 38, МБОУ СОШ №25 (включая ПИР)</t>
    </r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</si>
  <si>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Плехановская, 39, МБОУ СОШ № 35 (включая ПИР)</t>
    </r>
  </si>
  <si>
    <t>Физкультурно-оздоровительный комплекс открытого типа, ул. Краснознаменная, 74, МБОУ СОШ № 40 (включая ПИР)</t>
  </si>
  <si>
    <t>Физкультурно-оздоровительный комплекс открытого типа, ул. Юлюса Янониса, 6, МБОУ СОШ № 73 им А.Ф. Чернонога (включая ПИР)</t>
  </si>
  <si>
    <t>Физкультурно-оздоровительный комплекс открытого типа, ул. Переверткина, 16, МБОУ СОШ № 68 (включая ПИР)</t>
  </si>
  <si>
    <t>Физкультурно-оздоровительный комплекс открытого типа, ул. Черепанова, 18, МБОУ СОШ № 91 (включая ПИР)</t>
  </si>
  <si>
    <t>Физкультурно-оздоровительный комплекс открытого типа, ул. Генерала Лизюкова, 81, лицей №1(включая ПИР)</t>
  </si>
  <si>
    <t>Основное мероприятие «Строительство, реконструкция и капитальный ремонт объектов коммунальной инфраструктуры»</t>
  </si>
  <si>
    <t>0412</t>
  </si>
  <si>
    <t>Другие вопросы в области национальной экономики</t>
  </si>
  <si>
    <t>Национальная экономика</t>
  </si>
  <si>
    <t>Приобретение в муниципальную собственность объекта «Детский сад на 220 мест по адресу: Воронежская область, городской округ город Воронеж, город Воронеж, массив Олимпийский, д. 15»</t>
  </si>
  <si>
    <t>Детский сад на 280 мест по ул. Артамонова в г. Воронеже (включая ПИР)</t>
  </si>
  <si>
    <t>Детский сад на 280 мест в мкр. «Боровое»                              г. Воронежа (включая ПИР)</t>
  </si>
  <si>
    <t>Детский сад на 220 мест по ул. Дмитрия Горина, 63 в  г. Воронеж (включая ПИР)</t>
  </si>
  <si>
    <t>Детский сад на 310 мест по ул.Шишкова в г.Воронеже (включая ПИР)</t>
  </si>
  <si>
    <t>Физкультурно-оздоровительный комплекс на территории МБОУ гимназия № 7 им. Воронцова В.М., ул. Ростовская, 36 (включая ПИР)</t>
  </si>
  <si>
    <t>Спортивный зал на территории СОШ № 75 по адресу: г. Воронеж, ул. Ю. Янониса, 4 (включая ПИР)</t>
  </si>
  <si>
    <t>Муниципальная программа городского округа город Воронеж «Развитие культуры»</t>
  </si>
  <si>
    <t>0801</t>
  </si>
  <si>
    <t>«Развитие культуры»</t>
  </si>
  <si>
    <t>"Приложение № 14 к решению Воронежской городской Думы от 20.12.2017  №  736-IV       
"О бюджете городского округа город Воронеж на 2018 год и на плановый период 2019 и 2020 годов"</t>
  </si>
  <si>
    <t>Приложение № 8</t>
  </si>
  <si>
    <t xml:space="preserve">от                 № </t>
  </si>
  <si>
    <t>III.</t>
  </si>
  <si>
    <t>15</t>
  </si>
  <si>
    <t>19</t>
  </si>
  <si>
    <t>20</t>
  </si>
  <si>
    <t>V.</t>
  </si>
  <si>
    <t>22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</si>
  <si>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</si>
  <si>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</si>
  <si>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</si>
  <si>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</si>
  <si>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</si>
  <si>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</si>
  <si>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</si>
  <si>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</si>
  <si>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</si>
  <si>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0400</t>
  </si>
  <si>
    <t>Управление имущественных и земельных отношений</t>
  </si>
  <si>
    <t>Детский сад на 150 мест в мкр. «Малышево»  г. Воронежа (включая ПИР)</t>
  </si>
  <si>
    <t>Детский сад на 150 мест в гмкр. «Подклетное», ул.Красочная,1 в г.Воронеже (включая ПИР)</t>
  </si>
  <si>
    <t>Детский сад на 150 мест в мкр. «Малышево»   г. Воронежа (включая ПИР)</t>
  </si>
  <si>
    <t>Пристройка спортивного зала к зданию МБОУ СОШ № 24 по адресу: ул. Генерала Лохматикова, 43</t>
  </si>
  <si>
    <t>Пристройка спортивного зала к зданию МБОУ СОШ № 24 по адресу: ул. Генерала Лохматикова, 43 (включая ПИР)</t>
  </si>
  <si>
    <t>Комплексное освоение в целях жилищного строительства микрорайона по ул. Ильюшина, 13 в г. Воронеже.Общеобразовательная школа на 1224 места (поз.59) (включая ПИР)</t>
  </si>
  <si>
    <t>г. Воронеж. Средняя школа на 1101 место по ул. Ф.Тютчева, 6 (включая ПИР)</t>
  </si>
  <si>
    <t>Общеобразовательная школа на 1101 место по адресу: г.Воронеж, жилой массив Олимпийский, 14 (включая ПИР)</t>
  </si>
  <si>
    <t>Общеобразовательная школа на 1224 места по ул. Артамонова в г.Воронеж (включая ПИР)</t>
  </si>
  <si>
    <t>Спортивный зал на территории СОШ №23, ул. Димитрова, 81(включая ПИР)</t>
  </si>
  <si>
    <t>ГОРОДСКАЯ АДРЕСНАЯ ИНВЕСТИЦИОННАЯ ПРОГРАММА НА 2019 ГОД</t>
  </si>
  <si>
    <t>Охрана окружающей среды</t>
  </si>
  <si>
    <t>0600</t>
  </si>
  <si>
    <t>0605</t>
  </si>
  <si>
    <t>Другие вопросы в области охраны окружающей среды</t>
  </si>
  <si>
    <t>Муниципальная программа городского округа город Воронеж «Охрана окружающей среды»</t>
  </si>
  <si>
    <t xml:space="preserve">План 
2019  год (долгоср контракты) </t>
  </si>
  <si>
    <t xml:space="preserve">План 
2019  год (предложения ГРБС) </t>
  </si>
  <si>
    <t xml:space="preserve">Благоустройство парка "Орленок", ул. Чайковского, 8 </t>
  </si>
  <si>
    <t>Благоустройство мемориального комплекса "Площадь Победы" в городе Воронеже</t>
  </si>
  <si>
    <t>Благоустройство проспекта Революции, город Воронеж</t>
  </si>
  <si>
    <t>Приобретение в муниципальную собственность объекта «Детский сад на 100 мест по ул. 9 Января, 243»</t>
  </si>
  <si>
    <t>Приобретение в муниципальную собственность объекта «Детский сад на 100 мест по ул. 9 Января, 68»</t>
  </si>
  <si>
    <t>План 
2019  год  (предполагаемое изменение обл)</t>
  </si>
  <si>
    <t>от предполагаемых лимитов</t>
  </si>
  <si>
    <t xml:space="preserve">План 
2019  год  </t>
  </si>
  <si>
    <t xml:space="preserve">1. Жилищное хозяйство                </t>
  </si>
  <si>
    <t xml:space="preserve">Муниципальная программа "Формирование сорвременной городской среды на территории городского окргуга город Воронеж на 2018-2022 годы"                      </t>
  </si>
  <si>
    <t>Благоустройство парка "Южный" , ул. Новосибирская, 5В</t>
  </si>
  <si>
    <t>Подпрограмма "Развитие дошкольного образования"</t>
  </si>
  <si>
    <t>Комплексное освоение в целях жилищного строительства микрорайона по ул. Ильюшина, 13 в г. Воронеже. Общеобразовательная школа на 1224 места (поз.59) (включая ПИР)</t>
  </si>
  <si>
    <t>Образование</t>
  </si>
  <si>
    <t>Основное мероприятие  "Обеспечение жильем молодых семей"</t>
  </si>
  <si>
    <t>План 
2019  год  утвержденный</t>
  </si>
  <si>
    <t xml:space="preserve">Основное мероприятие «Благоустройство общественных территорий» </t>
  </si>
  <si>
    <t>Мероприятия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</si>
  <si>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</si>
  <si>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пристройки к  функционирующему детскому саду МБДОУ «Детский сад № 69», г. Воронеж, ул. Попова, д. 2 (включая ПИР)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</si>
  <si>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</si>
  <si>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Строительство пристройки к  функционирующему детскому саду МБДОУ «Центр развития ребенка - детский сад № 73», г. Воронеж, ул. Ульяновская, д. 31 (включая ПИР)</t>
  </si>
  <si>
    <t>Строительство пристройки к  функционирующему детскому саду МБДОУ «Детский сад общеразвивающего вида № 142», г. Воронеж, ул. Глинки, д. 11 (включая ПИР)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</si>
  <si>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</si>
  <si>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Строительство пристройки  к функционирующему детскому саду МБДОУ «Детский сад  № 119», г. Воронеж, ул. Тепличная, д. 18 (включая ПИР)</t>
  </si>
  <si>
    <t>Строительство детского сада на 300 мест в мкр. Шилово г.о.г. Воронеж (включая ПИР)</t>
  </si>
  <si>
    <t>Региональный проект «Жилье»</t>
  </si>
  <si>
    <t>Реконструкция тренировочной площадки на стадионе «Локомотив», г. Воронеж, ул. Нариманова, д. 2 (включая ПИР)</t>
  </si>
  <si>
    <t>Реконструкция тренировочной площадки на стадионе «Чайка», г. Воронеж, ул. Краснознаменная, д. 101. Искусственное покрытие (включая ПИР)</t>
  </si>
  <si>
    <t>Реконструкция футбольного поля МБУДО СДЮСШОР № 15, ул. Ростовская, 38а (включая ПИР)</t>
  </si>
  <si>
    <t>Физкультурно-оздоровительный комплекс открытого типа на территории МБОУ гимназия № 2, г. Воронеж, Московский проспект, 121 (включая ПИР)</t>
  </si>
  <si>
    <t>Региональный проект «Спорт - норма жизни»</t>
  </si>
  <si>
    <t>35</t>
  </si>
  <si>
    <t>Региональный проект "Жилище"</t>
  </si>
  <si>
    <t xml:space="preserve"> Мероприятия по созданию дополнительных мест для детей в возрасте от 2 месяцев до 3 лет в образовательных организациях, осуществлющих образовательную деятельность по образовательным программам дошкольного образования</t>
  </si>
  <si>
    <t>"Массовый спорт"</t>
  </si>
  <si>
    <t xml:space="preserve">Основное мероприятие 2
"Строительство и реконструкция физкультурно-спортивных сооружений на территории городского округа город Воронеж"
</t>
  </si>
  <si>
    <t>3087,193 остатки не берем из МБ</t>
  </si>
  <si>
    <t>Пристройка к МБОУ лицей № 4  по ул. Генерала Лизюкова, 87 (включая ПИР)</t>
  </si>
  <si>
    <t>Пристройка к МОУ СОШ № 77  по пер. Звездный,2 (Масловка) (включая ПИР)</t>
  </si>
  <si>
    <t>Проектирование и строительство здания клуба "Краснолесье" в мкр. Краснолесный г. Воронеж</t>
  </si>
  <si>
    <t>36</t>
  </si>
  <si>
    <t>37</t>
  </si>
  <si>
    <t>38</t>
  </si>
  <si>
    <t>Пристройка к МБОУ СОШ № 84 в г. Воронеже по ул. Тепличная, 20б</t>
  </si>
  <si>
    <t>Пристройка к МБОУ СОШ № 46 по ул. Дм. Горина, 61 (Подгорное), г. Воронеж (включая ПИР)</t>
  </si>
  <si>
    <t xml:space="preserve">Детский сад на 280 мест по адресу: Российская Федерация, Воронежская обл, городской округ город Воронеж, Воронеж г, Козо-Полянского ул, 7 д.  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</si>
  <si>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</si>
  <si>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Строительство  пристройки к функционирующему детскому саду МБДОУ «Центр развития ребенка-детский сад  № 138», г. Воронеж, ул.Лизюкова, 41 (включая ПИР)</t>
  </si>
  <si>
    <t>Строительство пристройки к МБОУ гимназия УВК № 1 структурное подразделение детский сад, г. Воронеж, ул. Беговая, д. 164 (включая ПИР)</t>
  </si>
  <si>
    <t>1004</t>
  </si>
  <si>
    <t>Охрана семьи и детства</t>
  </si>
  <si>
    <t>Строительство блочно-модульной котельной, предназначенной для переключения потребителей домов по ул. Землячки, 43, 31а, 33, 33а, 33б, 35а, 37, 37а в г. Воронеже)</t>
  </si>
  <si>
    <t>Строительство блочно-модульной котельной для переключения потребителей многоквартирного дома по ул. Дружинников, 26 в г. Воронеже</t>
  </si>
  <si>
    <t>Управление жилищно-коммунального хозяйства</t>
  </si>
  <si>
    <t>Ликвидация подвальной котельной  по ул. Карла Маркса, 61 (переключение на существующие сети теплоснабжения жилого дома по ул. К. Маркса, 61)</t>
  </si>
  <si>
    <t>Ликвидация подвальной котельной  по ул. Таранченко, 42 (переключение на существующие сети теплоснабжения учреждения здравоохранения по ул. Таранченко, 42)</t>
  </si>
  <si>
    <t>Ликвидация подвальной котельной по ул. Карла Маркса, 38 (строительство тепловых сетей и переключение на них потребителей)</t>
  </si>
  <si>
    <t>Ликвидации подвальной котельной по ул. Володарского, 37а (строительство тепловых сетей и переключение на них потребителей)</t>
  </si>
  <si>
    <t>Ликвидации подвальной котельной по ул. Никитинская, 5 (строительство тепловых сетей и переключение на них потребителей)</t>
  </si>
  <si>
    <t>Ликвидация подвальной котельной по ул. Кольцовская, 6 (строительство тепловых сетей и переключение на них потребителей)</t>
  </si>
  <si>
    <t>Ликвидация подвальной котельной по ул. Феоктистова, 4 (строительство тепловых сетей и переключение на них потребителей)</t>
  </si>
  <si>
    <t>6</t>
  </si>
  <si>
    <t>7</t>
  </si>
  <si>
    <t>8</t>
  </si>
  <si>
    <t>9</t>
  </si>
  <si>
    <t>10</t>
  </si>
  <si>
    <t>11</t>
  </si>
  <si>
    <t>13</t>
  </si>
  <si>
    <t>14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</si>
  <si>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</si>
  <si>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</si>
  <si>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</si>
  <si>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</si>
  <si>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</si>
  <si>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</si>
  <si>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</si>
  <si>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</si>
  <si>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</si>
  <si>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Физкультурно-оздоровительный комплекс открытого типа по адресу: г. Воронеж, Ленинский проспект, 115а, МБОУ лицей № 6  (включая ПИР)</t>
  </si>
  <si>
    <t>Физкультурно-оздоровительный комплекс открытого типа по адресу: г. Воронеж, пер. Туркменский, 14а  МБОУ СОШ № 50(включая ПИР)</t>
  </si>
  <si>
    <t>в том числе за счет средств областного бюджета:</t>
  </si>
  <si>
    <t>52</t>
  </si>
  <si>
    <t>54</t>
  </si>
  <si>
    <t>VI.</t>
  </si>
  <si>
    <t>"Музей Воздушно-Десантных войск" в г. Воронеже, по адресу: ул. Г. Лизюкова, 42в"</t>
  </si>
  <si>
    <t>0603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</si>
  <si>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</si>
  <si>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Рекультивация несанкционированной свалки г. Воронежа, территория отработанного карьера ул. Землячки, 29 (включая ПИР)</t>
  </si>
  <si>
    <t>Создание многофункционального парка и обустройство экологической тропы на территории особо охраняемой природной территории "Воронежская нагорная дубрава" (включая ПИР)</t>
  </si>
  <si>
    <t>Физкультурно-оздоровительный комплекс открытого типа на территории МБОУ ВУВК им. А.П. Киселева, г. Воронеж, ул. Г. Сибиряков, 5</t>
  </si>
  <si>
    <t xml:space="preserve"> Мероприятия по созданию дополнительных мест для детей в возрасте от 1,5 до 3 лет в образовательных организациях, осуществлющих образовательную деятельность по образовательным программам дошкольного образования</t>
  </si>
  <si>
    <t>План 
2019  год  1-я корр</t>
  </si>
  <si>
    <t>Отклонение    1 кор</t>
  </si>
  <si>
    <t>Отклонение    2 кор</t>
  </si>
  <si>
    <t>Управление экологии</t>
  </si>
  <si>
    <t>VII.</t>
  </si>
  <si>
    <t>Ликвидация подвальных котельных по ул. Средне-Московская, 14/21, ул. Фридриха Энгельса, 50, ул. Карла Маркса, 61 (строительство тепловых сетей и переключение на них 5 жилых домов по ул. Средне-Московская, 14, ул. Фридриха Энгельса, 50, ул. Никитинская, 19, 21, ул. Карла Маркса, 61, а также 4 административных зданий по ул. Средне-Московская, 12, ул. Фридриха Энгельса, 48, ул. Никитинская, 19а, ул. Никитинская, 26)</t>
  </si>
  <si>
    <t>Ликвидация подвальной котельной  по ул. Таранченко, 29 (переключение на существующие сети теплоснабжения 2 жилых домов по ул. Таранченко, 29, пер. Бауманский, 39)</t>
  </si>
  <si>
    <t>Ликвидация подвальных котельных по ул. Кольцовская, 36 и ул. Кольцовская, 17 (строительство блочно-модульной котельной и перключение на нее 8 жилых домов по ул. Революции 1905 года, 3, ул. Кольцовская, 17, 34, 36, ул. Комиссаржевская, 12, 16, 18, ул. Студенческая, 30, а также 2 административных зданий по ул. Комиссаржевская, 14а, 18а)</t>
  </si>
  <si>
    <t>Ликвидация подвальных котельных по ул. Революции 1905 года, 8 и ул. Кольцовская, 30 (строительство блочно-модульной котельной и перключение на нее 6 жилых домов по ул. Революции 1905 года, 1, 4, 8,  ул. Кольцовская, 30, 30а, пер. Мельничный, 1)</t>
  </si>
  <si>
    <t>Ликвидация подвальных котельных по ул. Кольцовская, 36 и ул. Кольцовская, 17 (строительство блочно-модульной котельной и перключение на нее 8 жилых домов по ул. Революции 1905 года, 3, ул. Кольцовская, 17, 34, 36, ул. Комиссаржевская, 12, 16, 18, ул. Студенческая, 30, а также 2  административных зданий по ул. Комиссаржевская, 14а, 18а)</t>
  </si>
  <si>
    <t>Строительство блочно-модульной котельной, предназначенной для переключения потребителей домов по ул. Землячки, 43, 31а, 33, 33а, 33б, 35а, 37, 37а в г. Воронеже</t>
  </si>
  <si>
    <t>Муниципальная программа городского округа город Воронеж «Обеспечение коммунальными услугами населения городского округа город Воронеж»</t>
  </si>
  <si>
    <t xml:space="preserve"> Подпрограмма "Сохранение и развитие культуры и искусства"</t>
  </si>
  <si>
    <t>Физическая культура и спорт, в том числе:</t>
  </si>
  <si>
    <t>Канализование частного сектора квартала «Песчанка», Левый берег в г. Воронеже</t>
  </si>
  <si>
    <t>"Приложение № 14 к решению Воронежской городской Думы от  19.12.2018  №  1027-IV       
"О бюджете городского округа город Воронеж на 2019 год и на плановый период 2020 и 2021 годов"</t>
  </si>
  <si>
    <t>Подпрограмма  "Развитие дошкольного образования"</t>
  </si>
  <si>
    <t>Приложение № 7</t>
  </si>
  <si>
    <t>от 26.06.2019 № 1162-IV</t>
  </si>
  <si>
    <t xml:space="preserve">                             В.Ю. Кстенин</t>
  </si>
  <si>
    <t xml:space="preserve">                             Глава городского округа
                             город Воронеж</t>
  </si>
  <si>
    <t>».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</si>
</sst>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_ ;[Red]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_-* #,##0_р_._-;\-* #,##0_р_._-;_-* &quot;-&quot;??_р_._-;_-@_-"/>
    <numFmt numFmtId="182" formatCode="_-* #,##0.0_р_._-;\-* #,##0.0_р_._-;_-* &quot;-&quot;?_р_._-;_-@_-"/>
    <numFmt numFmtId="183" formatCode="_-* #,##0_р_._-;\-* #,##0_р_._-;_-* &quot;-&quot;?_р_._-;_-@_-"/>
    <numFmt numFmtId="184" formatCode="_-* #,##0.0_р_._-;\-* #,##0.0_р_._-;_-* &quot;-&quot;??_р_._-;_-@_-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#,##0.0000000"/>
    <numFmt numFmtId="191" formatCode="_-* #,##0.000_р_._-;\-* #,##0.000_р_._-;_-* &quot;-&quot;??_р_._-;_-@_-"/>
    <numFmt numFmtId="192" formatCode="0.0000"/>
    <numFmt numFmtId="193" formatCode="0.00000"/>
    <numFmt numFmtId="194" formatCode="0.000000"/>
    <numFmt numFmtId="195" formatCode="0.0000000"/>
    <numFmt numFmtId="196" formatCode="#\ ##0.00"/>
    <numFmt numFmtId="197" formatCode="#,##0.00_ ;[Red]\-#,##0.00\ "/>
    <numFmt numFmtId="198" formatCode="#,##0.00000_ ;[Red]\-#,##0.00000\ "/>
    <numFmt numFmtId="199" formatCode="#,##0.000_ ;[Red]\-#,##0.000\ "/>
  </numFmts>
  <fonts count="2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9"/>
      <color indexed="8"/>
      <name val="Arial Narrow"/>
      <family val="2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27" fillId="0" borderId="0">
      <alignment horizontal="right"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1" fillId="24" borderId="0" xfId="0" applyNumberFormat="1" applyFont="1" applyFill="1" applyAlignment="1">
      <alignment horizontal="center" vertical="center" wrapText="1"/>
    </xf>
    <xf numFmtId="49" fontId="1" fillId="24" borderId="0" xfId="0" applyNumberFormat="1" applyFont="1" applyFill="1" applyBorder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49" fontId="25" fillId="24" borderId="0" xfId="0" applyNumberFormat="1" applyFont="1" applyFill="1" applyBorder="1" applyAlignment="1">
      <alignment vertical="top" wrapText="1"/>
    </xf>
    <xf numFmtId="4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25" fillId="24" borderId="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 applyProtection="1">
      <alignment horizontal="center" vertical="top" wrapText="1"/>
      <protection/>
    </xf>
    <xf numFmtId="172" fontId="1" fillId="24" borderId="10" xfId="0" applyNumberFormat="1" applyFont="1" applyFill="1" applyBorder="1" applyAlignment="1">
      <alignment horizontal="center" vertical="top" wrapText="1"/>
    </xf>
    <xf numFmtId="4" fontId="22" fillId="24" borderId="10" xfId="0" applyNumberFormat="1" applyFont="1" applyFill="1" applyBorder="1" applyAlignment="1">
      <alignment horizontal="center" vertical="top" wrapText="1"/>
    </xf>
    <xf numFmtId="3" fontId="22" fillId="24" borderId="10" xfId="0" applyNumberFormat="1" applyFont="1" applyFill="1" applyBorder="1" applyAlignment="1">
      <alignment horizontal="center" vertical="top" wrapText="1"/>
    </xf>
    <xf numFmtId="188" fontId="22" fillId="24" borderId="10" xfId="0" applyNumberFormat="1" applyFont="1" applyFill="1" applyBorder="1" applyAlignment="1">
      <alignment horizontal="center" vertical="top" wrapText="1"/>
    </xf>
    <xf numFmtId="0" fontId="23" fillId="24" borderId="10" xfId="0" applyNumberFormat="1" applyFont="1" applyFill="1" applyBorder="1" applyAlignment="1" applyProtection="1">
      <alignment horizontal="center" vertical="top" wrapText="1"/>
      <protection/>
    </xf>
    <xf numFmtId="185" fontId="22" fillId="24" borderId="10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3" fontId="25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3" fontId="22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25" fillId="24" borderId="11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172" fontId="25" fillId="24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4" fontId="22" fillId="24" borderId="11" xfId="0" applyNumberFormat="1" applyFont="1" applyFill="1" applyBorder="1" applyAlignment="1">
      <alignment horizontal="center" vertical="top" wrapText="1"/>
    </xf>
    <xf numFmtId="172" fontId="2" fillId="24" borderId="0" xfId="0" applyNumberFormat="1" applyFont="1" applyFill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left" vertical="top" wrapText="1"/>
    </xf>
    <xf numFmtId="185" fontId="25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3" fontId="22" fillId="4" borderId="10" xfId="0" applyNumberFormat="1" applyFont="1" applyFill="1" applyBorder="1" applyAlignment="1">
      <alignment horizontal="center" vertical="top" wrapText="1"/>
    </xf>
    <xf numFmtId="172" fontId="22" fillId="4" borderId="10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4" fontId="25" fillId="4" borderId="10" xfId="0" applyNumberFormat="1" applyFont="1" applyFill="1" applyBorder="1" applyAlignment="1">
      <alignment horizontal="center" vertical="top" wrapText="1"/>
    </xf>
    <xf numFmtId="3" fontId="25" fillId="4" borderId="10" xfId="0" applyNumberFormat="1" applyFont="1" applyFill="1" applyBorder="1" applyAlignment="1">
      <alignment horizontal="center" vertical="top" wrapText="1"/>
    </xf>
    <xf numFmtId="172" fontId="25" fillId="4" borderId="10" xfId="0" applyNumberFormat="1" applyFont="1" applyFill="1" applyBorder="1" applyAlignment="1">
      <alignment horizontal="center" vertical="top" wrapText="1"/>
    </xf>
    <xf numFmtId="188" fontId="22" fillId="4" borderId="10" xfId="0" applyNumberFormat="1" applyFont="1" applyFill="1" applyBorder="1" applyAlignment="1">
      <alignment horizontal="center" vertical="top" wrapText="1"/>
    </xf>
    <xf numFmtId="188" fontId="25" fillId="4" borderId="10" xfId="0" applyNumberFormat="1" applyFont="1" applyFill="1" applyBorder="1" applyAlignment="1">
      <alignment horizontal="center" vertical="top" wrapText="1"/>
    </xf>
    <xf numFmtId="3" fontId="23" fillId="4" borderId="10" xfId="0" applyNumberFormat="1" applyFont="1" applyFill="1" applyBorder="1" applyAlignment="1" applyProtection="1">
      <alignment horizontal="center" vertical="top" wrapText="1"/>
      <protection/>
    </xf>
    <xf numFmtId="0" fontId="23" fillId="4" borderId="10" xfId="0" applyFont="1" applyFill="1" applyBorder="1" applyAlignment="1">
      <alignment horizontal="center" vertical="top" wrapText="1"/>
    </xf>
    <xf numFmtId="172" fontId="1" fillId="24" borderId="0" xfId="0" applyNumberFormat="1" applyFont="1" applyFill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185" fontId="25" fillId="4" borderId="10" xfId="0" applyNumberFormat="1" applyFont="1" applyFill="1" applyBorder="1" applyAlignment="1">
      <alignment horizontal="center" vertical="top" wrapText="1"/>
    </xf>
    <xf numFmtId="185" fontId="22" fillId="4" borderId="10" xfId="0" applyNumberFormat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horizontal="left" vertical="top" wrapText="1"/>
    </xf>
    <xf numFmtId="0" fontId="1" fillId="4" borderId="1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Alignment="1">
      <alignment horizontal="center" vertical="top" wrapText="1"/>
    </xf>
    <xf numFmtId="4" fontId="25" fillId="24" borderId="0" xfId="0" applyNumberFormat="1" applyFont="1" applyFill="1" applyAlignment="1">
      <alignment horizontal="center" vertical="top" wrapText="1"/>
    </xf>
    <xf numFmtId="3" fontId="25" fillId="24" borderId="0" xfId="0" applyNumberFormat="1" applyFont="1" applyFill="1" applyAlignment="1">
      <alignment horizontal="center" vertical="top" wrapText="1"/>
    </xf>
    <xf numFmtId="3" fontId="1" fillId="24" borderId="0" xfId="0" applyNumberFormat="1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3" fontId="1" fillId="24" borderId="0" xfId="0" applyNumberFormat="1" applyFont="1" applyFill="1" applyAlignment="1">
      <alignment horizontal="left" vertical="top" wrapText="1"/>
    </xf>
    <xf numFmtId="49" fontId="2" fillId="24" borderId="0" xfId="0" applyNumberFormat="1" applyFont="1" applyFill="1" applyBorder="1" applyAlignment="1">
      <alignment horizontal="center" vertical="top" wrapText="1"/>
    </xf>
    <xf numFmtId="172" fontId="1" fillId="24" borderId="0" xfId="0" applyNumberFormat="1" applyFont="1" applyFill="1" applyBorder="1" applyAlignment="1">
      <alignment horizontal="center" vertical="top" wrapText="1"/>
    </xf>
    <xf numFmtId="188" fontId="2" fillId="24" borderId="0" xfId="0" applyNumberFormat="1" applyFont="1" applyFill="1" applyBorder="1" applyAlignment="1">
      <alignment horizontal="center" vertical="top" wrapText="1"/>
    </xf>
    <xf numFmtId="185" fontId="1" fillId="24" borderId="0" xfId="0" applyNumberFormat="1" applyFont="1" applyFill="1" applyBorder="1" applyAlignment="1">
      <alignment horizontal="center" vertical="top" wrapText="1"/>
    </xf>
    <xf numFmtId="185" fontId="25" fillId="24" borderId="0" xfId="0" applyNumberFormat="1" applyFont="1" applyFill="1" applyBorder="1" applyAlignment="1">
      <alignment horizontal="center" vertical="top" wrapText="1"/>
    </xf>
    <xf numFmtId="4" fontId="1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 applyProtection="1">
      <alignment horizontal="center" vertical="top" wrapText="1"/>
      <protection/>
    </xf>
    <xf numFmtId="3" fontId="23" fillId="24" borderId="10" xfId="0" applyNumberFormat="1" applyFont="1" applyFill="1" applyBorder="1" applyAlignment="1" applyProtection="1">
      <alignment horizontal="center" vertical="top" wrapText="1"/>
      <protection/>
    </xf>
    <xf numFmtId="0" fontId="23" fillId="24" borderId="10" xfId="0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3" fontId="26" fillId="24" borderId="10" xfId="0" applyNumberFormat="1" applyFont="1" applyFill="1" applyBorder="1" applyAlignment="1" applyProtection="1">
      <alignment horizontal="center" vertical="top" wrapText="1"/>
      <protection/>
    </xf>
    <xf numFmtId="0" fontId="26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185" fontId="22" fillId="24" borderId="10" xfId="0" applyNumberFormat="1" applyFont="1" applyFill="1" applyBorder="1" applyAlignment="1">
      <alignment horizontal="center" vertical="top" wrapText="1"/>
    </xf>
    <xf numFmtId="172" fontId="1" fillId="24" borderId="0" xfId="0" applyNumberFormat="1" applyFont="1" applyFill="1" applyBorder="1" applyAlignment="1">
      <alignment vertical="top" wrapText="1"/>
    </xf>
    <xf numFmtId="172" fontId="25" fillId="24" borderId="0" xfId="0" applyNumberFormat="1" applyFont="1" applyFill="1" applyBorder="1" applyAlignment="1">
      <alignment horizontal="center" vertical="top" wrapText="1"/>
    </xf>
    <xf numFmtId="172" fontId="25" fillId="24" borderId="0" xfId="0" applyNumberFormat="1" applyFont="1" applyFill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 applyProtection="1">
      <alignment horizontal="center" vertical="top" wrapText="1"/>
      <protection/>
    </xf>
    <xf numFmtId="49" fontId="22" fillId="4" borderId="10" xfId="0" applyNumberFormat="1" applyFont="1" applyFill="1" applyBorder="1" applyAlignment="1">
      <alignment horizontal="center" vertical="top" wrapText="1"/>
    </xf>
    <xf numFmtId="0" fontId="1" fillId="24" borderId="10" xfId="57" applyFont="1" applyFill="1" applyBorder="1" applyAlignment="1">
      <alignment vertical="top" wrapText="1"/>
      <protection/>
    </xf>
    <xf numFmtId="0" fontId="1" fillId="24" borderId="10" xfId="0" applyNumberFormat="1" applyFont="1" applyFill="1" applyBorder="1" applyAlignment="1" applyProtection="1">
      <alignment horizontal="center" vertical="top" wrapText="1"/>
      <protection/>
    </xf>
    <xf numFmtId="172" fontId="1" fillId="24" borderId="10" xfId="0" applyNumberFormat="1" applyFont="1" applyFill="1" applyBorder="1" applyAlignment="1">
      <alignment horizontal="center" vertical="top" wrapText="1"/>
    </xf>
    <xf numFmtId="172" fontId="25" fillId="24" borderId="11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187" fontId="25" fillId="24" borderId="10" xfId="0" applyNumberFormat="1" applyFont="1" applyFill="1" applyBorder="1" applyAlignment="1">
      <alignment horizontal="center" vertical="top" wrapText="1"/>
    </xf>
    <xf numFmtId="172" fontId="1" fillId="24" borderId="0" xfId="0" applyNumberFormat="1" applyFont="1" applyFill="1" applyAlignment="1">
      <alignment horizontal="center" vertical="top" wrapText="1"/>
    </xf>
    <xf numFmtId="188" fontId="1" fillId="24" borderId="0" xfId="0" applyNumberFormat="1" applyFont="1" applyFill="1" applyAlignment="1">
      <alignment horizontal="center" vertical="top" wrapText="1"/>
    </xf>
    <xf numFmtId="172" fontId="28" fillId="25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49" fontId="22" fillId="24" borderId="10" xfId="0" applyNumberFormat="1" applyFont="1" applyFill="1" applyBorder="1" applyAlignment="1">
      <alignment horizontal="center" vertical="top" wrapText="1"/>
    </xf>
    <xf numFmtId="172" fontId="25" fillId="24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88" fontId="22" fillId="24" borderId="10" xfId="0" applyNumberFormat="1" applyFont="1" applyFill="1" applyBorder="1" applyAlignment="1">
      <alignment horizontal="center" vertical="top" wrapText="1"/>
    </xf>
    <xf numFmtId="188" fontId="25" fillId="24" borderId="10" xfId="0" applyNumberFormat="1" applyFont="1" applyFill="1" applyBorder="1" applyAlignment="1">
      <alignment horizontal="center" vertical="top" wrapText="1"/>
    </xf>
    <xf numFmtId="187" fontId="22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 applyProtection="1">
      <alignment vertical="top" wrapText="1"/>
      <protection/>
    </xf>
    <xf numFmtId="0" fontId="2" fillId="24" borderId="10" xfId="0" applyFont="1" applyFill="1" applyBorder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" fillId="24" borderId="13" xfId="0" applyNumberFormat="1" applyFont="1" applyFill="1" applyBorder="1" applyAlignment="1" applyProtection="1">
      <alignment horizontal="right" vertical="top" wrapText="1"/>
      <protection/>
    </xf>
    <xf numFmtId="172" fontId="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top" wrapText="1"/>
    </xf>
    <xf numFmtId="49" fontId="2" fillId="24" borderId="0" xfId="0" applyNumberFormat="1" applyFont="1" applyFill="1" applyAlignment="1">
      <alignment horizontal="center" vertical="top" wrapText="1"/>
    </xf>
    <xf numFmtId="49" fontId="2" fillId="24" borderId="0" xfId="0" applyNumberFormat="1" applyFont="1" applyFill="1" applyAlignment="1">
      <alignment horizontal="right" vertical="top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left" vertical="top" wrapText="1"/>
    </xf>
    <xf numFmtId="49" fontId="2" fillId="24" borderId="0" xfId="0" applyNumberFormat="1" applyFont="1" applyFill="1" applyAlignment="1">
      <alignment horizontal="left" vertical="top" wrapText="1"/>
    </xf>
    <xf numFmtId="3" fontId="25" fillId="24" borderId="0" xfId="0" applyNumberFormat="1" applyFont="1" applyFill="1" applyAlignment="1">
      <alignment horizontal="right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7" xfId="34"/>
    <cellStyle name="S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6"/>
  <sheetViews>
    <sheetView tabSelected="1" view="pageBreakPreview" zoomScale="75" zoomScaleSheetLayoutView="75" zoomScalePageLayoutView="0" workbookViewId="0" topLeftCell="A322">
      <selection activeCell="I370" sqref="I370"/>
    </sheetView>
  </sheetViews>
  <sheetFormatPr defaultColWidth="9.00390625" defaultRowHeight="12.75"/>
  <cols>
    <col min="1" max="1" width="7.375" style="61" customWidth="1"/>
    <col min="2" max="2" width="47.625" style="6" customWidth="1"/>
    <col min="3" max="3" width="14.375" style="6" customWidth="1"/>
    <col min="4" max="4" width="26.375" style="85" hidden="1" customWidth="1"/>
    <col min="5" max="5" width="26.625" style="85" hidden="1" customWidth="1"/>
    <col min="6" max="6" width="26.625" style="85" customWidth="1"/>
    <col min="7" max="8" width="26.625" style="85" hidden="1" customWidth="1"/>
    <col min="9" max="9" width="24.00390625" style="63" customWidth="1"/>
    <col min="10" max="11" width="21.875" style="62" hidden="1" customWidth="1"/>
    <col min="12" max="13" width="21.875" style="63" hidden="1" customWidth="1"/>
    <col min="14" max="14" width="12.875" style="6" hidden="1" customWidth="1"/>
    <col min="15" max="15" width="13.375" style="6" hidden="1" customWidth="1"/>
    <col min="16" max="16" width="11.75390625" style="6" hidden="1" customWidth="1"/>
    <col min="17" max="17" width="26.625" style="85" hidden="1" customWidth="1"/>
    <col min="18" max="18" width="18.375" style="6" customWidth="1"/>
    <col min="19" max="19" width="21.00390625" style="6" customWidth="1"/>
    <col min="20" max="20" width="13.375" style="6" bestFit="1" customWidth="1"/>
    <col min="21" max="16384" width="9.125" style="6" customWidth="1"/>
  </cols>
  <sheetData>
    <row r="1" spans="1:17" ht="22.5" customHeight="1" hidden="1">
      <c r="A1" s="4"/>
      <c r="B1" s="4"/>
      <c r="C1" s="4"/>
      <c r="D1" s="83"/>
      <c r="E1" s="109" t="s">
        <v>82</v>
      </c>
      <c r="F1" s="109"/>
      <c r="G1" s="109"/>
      <c r="H1" s="109"/>
      <c r="I1" s="110"/>
      <c r="J1" s="110"/>
      <c r="K1" s="110"/>
      <c r="L1" s="110"/>
      <c r="M1" s="110"/>
      <c r="N1" s="110"/>
      <c r="O1" s="110"/>
      <c r="P1" s="110"/>
      <c r="Q1" s="6"/>
    </row>
    <row r="2" spans="1:17" ht="20.25" customHeight="1" hidden="1">
      <c r="A2" s="4"/>
      <c r="B2" s="4"/>
      <c r="C2" s="4"/>
      <c r="D2" s="83"/>
      <c r="E2" s="109" t="s">
        <v>29</v>
      </c>
      <c r="F2" s="109"/>
      <c r="G2" s="109"/>
      <c r="H2" s="109"/>
      <c r="I2" s="110"/>
      <c r="J2" s="110"/>
      <c r="K2" s="110"/>
      <c r="L2" s="110"/>
      <c r="M2" s="110"/>
      <c r="N2" s="110"/>
      <c r="O2" s="110"/>
      <c r="P2" s="110"/>
      <c r="Q2" s="6"/>
    </row>
    <row r="3" spans="1:17" ht="20.25" customHeight="1" hidden="1">
      <c r="A3" s="4"/>
      <c r="B3" s="4"/>
      <c r="C3" s="4"/>
      <c r="D3" s="83"/>
      <c r="E3" s="109" t="s">
        <v>30</v>
      </c>
      <c r="F3" s="109"/>
      <c r="G3" s="109"/>
      <c r="H3" s="109"/>
      <c r="I3" s="110"/>
      <c r="J3" s="110"/>
      <c r="K3" s="110"/>
      <c r="L3" s="110"/>
      <c r="M3" s="110"/>
      <c r="N3" s="110"/>
      <c r="O3" s="110"/>
      <c r="P3" s="110"/>
      <c r="Q3" s="6"/>
    </row>
    <row r="4" spans="1:17" ht="22.5" customHeight="1" hidden="1">
      <c r="A4" s="4"/>
      <c r="B4" s="4"/>
      <c r="C4" s="4"/>
      <c r="D4" s="83"/>
      <c r="E4" s="109" t="s">
        <v>83</v>
      </c>
      <c r="F4" s="109"/>
      <c r="G4" s="109"/>
      <c r="H4" s="109"/>
      <c r="I4" s="110"/>
      <c r="J4" s="110"/>
      <c r="K4" s="110"/>
      <c r="L4" s="110"/>
      <c r="M4" s="110"/>
      <c r="N4" s="110"/>
      <c r="O4" s="110"/>
      <c r="P4" s="110"/>
      <c r="Q4" s="6"/>
    </row>
    <row r="5" spans="1:17" ht="3" customHeight="1" hidden="1">
      <c r="A5" s="4"/>
      <c r="B5" s="4"/>
      <c r="C5" s="4"/>
      <c r="D5" s="83"/>
      <c r="E5" s="83"/>
      <c r="F5" s="83"/>
      <c r="G5" s="83"/>
      <c r="H5" s="83"/>
      <c r="I5" s="4"/>
      <c r="J5" s="4"/>
      <c r="K5" s="4"/>
      <c r="L5" s="7"/>
      <c r="M5" s="8"/>
      <c r="N5" s="8"/>
      <c r="O5" s="8"/>
      <c r="P5" s="4"/>
      <c r="Q5" s="83"/>
    </row>
    <row r="6" spans="1:17" ht="6.75" customHeight="1" hidden="1">
      <c r="A6" s="111" t="s">
        <v>81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6"/>
    </row>
    <row r="7" spans="1:17" ht="1.5" customHeight="1">
      <c r="A7" s="9"/>
      <c r="B7" s="10"/>
      <c r="C7" s="10"/>
      <c r="D7" s="84"/>
      <c r="E7" s="84"/>
      <c r="F7" s="84"/>
      <c r="G7" s="84"/>
      <c r="H7" s="84"/>
      <c r="I7" s="11"/>
      <c r="J7" s="11"/>
      <c r="K7" s="11"/>
      <c r="L7" s="11"/>
      <c r="M7" s="11"/>
      <c r="Q7" s="84"/>
    </row>
    <row r="8" spans="1:17" ht="21.75" customHeight="1">
      <c r="A8" s="4"/>
      <c r="B8" s="4"/>
      <c r="C8" s="4"/>
      <c r="D8" s="83"/>
      <c r="E8" s="109" t="s">
        <v>228</v>
      </c>
      <c r="F8" s="109"/>
      <c r="G8" s="109"/>
      <c r="H8" s="109"/>
      <c r="I8" s="112"/>
      <c r="J8" s="112"/>
      <c r="K8" s="112"/>
      <c r="L8" s="112"/>
      <c r="M8" s="112"/>
      <c r="N8" s="112"/>
      <c r="O8" s="112"/>
      <c r="P8" s="112"/>
      <c r="Q8" s="6"/>
    </row>
    <row r="9" spans="1:17" ht="21.75" customHeight="1">
      <c r="A9" s="4"/>
      <c r="B9" s="4"/>
      <c r="C9" s="4"/>
      <c r="D9" s="83"/>
      <c r="E9" s="109" t="s">
        <v>29</v>
      </c>
      <c r="F9" s="109"/>
      <c r="G9" s="109"/>
      <c r="H9" s="109"/>
      <c r="I9" s="112"/>
      <c r="J9" s="112"/>
      <c r="K9" s="112"/>
      <c r="L9" s="112"/>
      <c r="M9" s="112"/>
      <c r="N9" s="112"/>
      <c r="O9" s="112"/>
      <c r="P9" s="112"/>
      <c r="Q9" s="6"/>
    </row>
    <row r="10" spans="1:17" ht="21.75" customHeight="1">
      <c r="A10" s="4"/>
      <c r="B10" s="4"/>
      <c r="C10" s="4"/>
      <c r="D10" s="83"/>
      <c r="E10" s="109" t="s">
        <v>30</v>
      </c>
      <c r="F10" s="109"/>
      <c r="G10" s="109"/>
      <c r="H10" s="109"/>
      <c r="I10" s="112"/>
      <c r="J10" s="112"/>
      <c r="K10" s="112"/>
      <c r="L10" s="112"/>
      <c r="M10" s="112"/>
      <c r="N10" s="112"/>
      <c r="O10" s="112"/>
      <c r="P10" s="112"/>
      <c r="Q10" s="6"/>
    </row>
    <row r="11" spans="1:17" ht="21.75" customHeight="1">
      <c r="A11" s="4"/>
      <c r="B11" s="4"/>
      <c r="C11" s="4"/>
      <c r="D11" s="83"/>
      <c r="E11" s="109" t="s">
        <v>229</v>
      </c>
      <c r="F11" s="109"/>
      <c r="G11" s="109"/>
      <c r="H11" s="109"/>
      <c r="I11" s="112"/>
      <c r="J11" s="112"/>
      <c r="K11" s="112"/>
      <c r="L11" s="112"/>
      <c r="M11" s="112"/>
      <c r="N11" s="112"/>
      <c r="O11" s="112"/>
      <c r="P11" s="112"/>
      <c r="Q11" s="6"/>
    </row>
    <row r="12" spans="1:17" ht="12" customHeight="1">
      <c r="A12" s="4"/>
      <c r="B12" s="4"/>
      <c r="C12" s="4"/>
      <c r="D12" s="83"/>
      <c r="E12" s="83"/>
      <c r="F12" s="83"/>
      <c r="G12" s="83"/>
      <c r="H12" s="83"/>
      <c r="I12" s="4"/>
      <c r="J12" s="4"/>
      <c r="K12" s="4"/>
      <c r="L12" s="7"/>
      <c r="M12" s="8"/>
      <c r="N12" s="8"/>
      <c r="O12" s="8"/>
      <c r="P12" s="4"/>
      <c r="Q12" s="83"/>
    </row>
    <row r="13" spans="1:17" ht="51" customHeight="1">
      <c r="A13" s="111" t="s">
        <v>226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6"/>
    </row>
    <row r="14" spans="1:17" ht="24" customHeight="1">
      <c r="A14" s="111" t="s">
        <v>111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6"/>
      <c r="Q14" s="6"/>
    </row>
    <row r="15" spans="1:17" ht="27.75" customHeight="1">
      <c r="A15" s="113" t="s">
        <v>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6"/>
      <c r="Q15" s="6"/>
    </row>
    <row r="16" spans="1:17" s="1" customFormat="1" ht="27.75" customHeight="1">
      <c r="A16" s="119" t="s">
        <v>3</v>
      </c>
      <c r="B16" s="119" t="s">
        <v>4</v>
      </c>
      <c r="C16" s="114" t="s">
        <v>6</v>
      </c>
      <c r="D16" s="114" t="s">
        <v>134</v>
      </c>
      <c r="E16" s="114" t="s">
        <v>211</v>
      </c>
      <c r="F16" s="114" t="s">
        <v>126</v>
      </c>
      <c r="G16" s="114" t="s">
        <v>213</v>
      </c>
      <c r="H16" s="114" t="s">
        <v>212</v>
      </c>
      <c r="I16" s="119" t="s">
        <v>1</v>
      </c>
      <c r="J16" s="118" t="s">
        <v>117</v>
      </c>
      <c r="K16" s="118" t="s">
        <v>118</v>
      </c>
      <c r="L16" s="114" t="s">
        <v>124</v>
      </c>
      <c r="M16" s="2" t="s">
        <v>34</v>
      </c>
      <c r="Q16" s="114" t="s">
        <v>34</v>
      </c>
    </row>
    <row r="17" spans="1:18" s="1" customFormat="1" ht="42.75" customHeight="1">
      <c r="A17" s="119"/>
      <c r="B17" s="119"/>
      <c r="C17" s="114"/>
      <c r="D17" s="114"/>
      <c r="E17" s="114"/>
      <c r="F17" s="114"/>
      <c r="G17" s="114"/>
      <c r="H17" s="114"/>
      <c r="I17" s="119"/>
      <c r="J17" s="118"/>
      <c r="K17" s="118"/>
      <c r="L17" s="114"/>
      <c r="M17" s="2" t="s">
        <v>125</v>
      </c>
      <c r="Q17" s="114"/>
      <c r="R17" s="3"/>
    </row>
    <row r="18" spans="1:19" ht="21.75" customHeight="1">
      <c r="A18" s="12"/>
      <c r="B18" s="13" t="s">
        <v>0</v>
      </c>
      <c r="C18" s="14"/>
      <c r="D18" s="31">
        <f>D20+D22+D21</f>
        <v>567164</v>
      </c>
      <c r="E18" s="104">
        <f>E20+E22+E21</f>
        <v>4581291.005489999</v>
      </c>
      <c r="F18" s="104">
        <f>F20+F22+F21</f>
        <v>4691367.75992</v>
      </c>
      <c r="G18" s="104">
        <f>G20+G22+G21</f>
        <v>-2094.541399999991</v>
      </c>
      <c r="H18" s="104">
        <f>H20+H22+H21</f>
        <v>4014127.00549</v>
      </c>
      <c r="I18" s="17"/>
      <c r="J18" s="15">
        <f>J20+J22+J21</f>
        <v>369952.68999999994</v>
      </c>
      <c r="K18" s="15">
        <f>K20+K22+K21</f>
        <v>506821.3</v>
      </c>
      <c r="L18" s="17">
        <f>L20+L22+L21</f>
        <v>558146.2</v>
      </c>
      <c r="M18" s="17">
        <f>M20+M22+M21</f>
        <v>244122.19999999998</v>
      </c>
      <c r="Q18" s="104">
        <f>Q20+Q22+Q21</f>
        <v>4484970.10489</v>
      </c>
      <c r="R18" s="55">
        <f>H18+D18</f>
        <v>4581291.005489999</v>
      </c>
      <c r="S18" s="97">
        <f>F18-E18</f>
        <v>110076.75443000067</v>
      </c>
    </row>
    <row r="19" spans="1:17" ht="26.25" customHeight="1">
      <c r="A19" s="12"/>
      <c r="B19" s="18" t="s">
        <v>20</v>
      </c>
      <c r="C19" s="14"/>
      <c r="D19" s="31"/>
      <c r="E19" s="104"/>
      <c r="F19" s="104"/>
      <c r="G19" s="104"/>
      <c r="H19" s="104"/>
      <c r="I19" s="19"/>
      <c r="J19" s="15"/>
      <c r="K19" s="15"/>
      <c r="L19" s="19"/>
      <c r="M19" s="19"/>
      <c r="Q19" s="104"/>
    </row>
    <row r="20" spans="1:20" ht="27.75" customHeight="1">
      <c r="A20" s="24"/>
      <c r="B20" s="90" t="s">
        <v>21</v>
      </c>
      <c r="C20" s="91"/>
      <c r="D20" s="102">
        <f>D295+D178+D254</f>
        <v>68020</v>
      </c>
      <c r="E20" s="105">
        <f>E295+E178+E254+E289</f>
        <v>1547456.0620900001</v>
      </c>
      <c r="F20" s="105">
        <f>F295+F178+F254+F289+F148</f>
        <v>1591607.45792</v>
      </c>
      <c r="G20" s="105">
        <f>G295+G178+G254+G289</f>
        <v>-68019.9</v>
      </c>
      <c r="H20" s="105">
        <f>H295+H178+H254+H289</f>
        <v>1479436.0620900001</v>
      </c>
      <c r="I20" s="102"/>
      <c r="J20" s="20"/>
      <c r="K20" s="20"/>
      <c r="L20" s="102"/>
      <c r="M20" s="102"/>
      <c r="Q20" s="105">
        <f>Q295+Q178+Q254+Q289</f>
        <v>1479436.16209</v>
      </c>
      <c r="S20" s="97"/>
      <c r="T20" s="55">
        <f>H20+H21</f>
        <v>3632784.50489</v>
      </c>
    </row>
    <row r="21" spans="1:19" ht="27.75" customHeight="1">
      <c r="A21" s="24"/>
      <c r="B21" s="90" t="s">
        <v>22</v>
      </c>
      <c r="C21" s="91"/>
      <c r="D21" s="102">
        <f>D296+D179+D255+D149</f>
        <v>3580</v>
      </c>
      <c r="E21" s="105">
        <f>E296+E179+E255+E149+E290+E150+E135+E167</f>
        <v>2156928.4428</v>
      </c>
      <c r="F21" s="95">
        <f>F296+F179+F255+F149+F290+F150+F135+F167</f>
        <v>2188760.8714</v>
      </c>
      <c r="G21" s="105">
        <f>G296+G179+G255+G149+G290+G150+G135+G167</f>
        <v>31832.42860000001</v>
      </c>
      <c r="H21" s="105">
        <f>H297+H179+H255+H149+H290+H150+H135</f>
        <v>2153348.4428</v>
      </c>
      <c r="I21" s="102"/>
      <c r="J21" s="20"/>
      <c r="K21" s="20"/>
      <c r="L21" s="102"/>
      <c r="M21" s="102"/>
      <c r="Q21" s="105">
        <f>Q297+Q179+Q255+Q149+Q290+Q150+Q135+Q167</f>
        <v>2151972.1427999996</v>
      </c>
      <c r="S21" s="97"/>
    </row>
    <row r="22" spans="1:19" ht="27.75" customHeight="1">
      <c r="A22" s="24"/>
      <c r="B22" s="90" t="s">
        <v>23</v>
      </c>
      <c r="C22" s="91"/>
      <c r="D22" s="102">
        <f>D31+D64+D104+D108+D27+D99+D57</f>
        <v>495564</v>
      </c>
      <c r="E22" s="105">
        <f>E31+E64+E104+E108+E99+E57+E24</f>
        <v>876906.5006000001</v>
      </c>
      <c r="F22" s="95">
        <f>F31+F64+F104+F108+F99+F57+F24</f>
        <v>910999.4306</v>
      </c>
      <c r="G22" s="105">
        <f>G31+G64+G104+G108+G99+G57+G24</f>
        <v>34092.92999999999</v>
      </c>
      <c r="H22" s="105">
        <f>H31+H64+H104+H108+H99+H57+H24</f>
        <v>381342.50059999997</v>
      </c>
      <c r="I22" s="102"/>
      <c r="J22" s="20">
        <f>J31+J64+J104+J108+J35+J27+J99+J57</f>
        <v>369952.68999999994</v>
      </c>
      <c r="K22" s="20">
        <f>K31+K64+K104+K108+K35+K27+K99+K57</f>
        <v>506821.3</v>
      </c>
      <c r="L22" s="102">
        <f>L31+L64+L104+L108+L35+L27+L99+L57</f>
        <v>558146.2</v>
      </c>
      <c r="M22" s="102">
        <f>M31+M64+M104+M108+M35+M27+M99+M57</f>
        <v>244122.19999999998</v>
      </c>
      <c r="Q22" s="105">
        <f>Q31+Q64+Q104+Q108+Q99+Q57+Q24</f>
        <v>853561.8000000002</v>
      </c>
      <c r="S22" s="97"/>
    </row>
    <row r="23" spans="1:17" ht="27.75" customHeight="1">
      <c r="A23" s="22" t="s">
        <v>10</v>
      </c>
      <c r="B23" s="74" t="s">
        <v>70</v>
      </c>
      <c r="C23" s="22" t="s">
        <v>68</v>
      </c>
      <c r="D23" s="103">
        <f aca="true" t="shared" si="0" ref="D23:L23">D24</f>
        <v>0</v>
      </c>
      <c r="E23" s="103">
        <f t="shared" si="0"/>
        <v>22184.5</v>
      </c>
      <c r="F23" s="103">
        <f>F24</f>
        <v>22184.5</v>
      </c>
      <c r="G23" s="103">
        <f>G24</f>
        <v>0</v>
      </c>
      <c r="H23" s="103">
        <f t="shared" si="0"/>
        <v>22184.5</v>
      </c>
      <c r="I23" s="26"/>
      <c r="J23" s="15">
        <f t="shared" si="0"/>
        <v>0</v>
      </c>
      <c r="K23" s="15">
        <f t="shared" si="0"/>
        <v>0</v>
      </c>
      <c r="L23" s="26">
        <f t="shared" si="0"/>
        <v>0</v>
      </c>
      <c r="M23" s="16"/>
      <c r="Q23" s="103">
        <f>Q24</f>
        <v>22184.5</v>
      </c>
    </row>
    <row r="24" spans="1:17" ht="45" customHeight="1">
      <c r="A24" s="24"/>
      <c r="B24" s="74" t="s">
        <v>69</v>
      </c>
      <c r="C24" s="22" t="s">
        <v>68</v>
      </c>
      <c r="D24" s="103">
        <f>D27</f>
        <v>0</v>
      </c>
      <c r="E24" s="103">
        <f>E27+E28+E29+E30</f>
        <v>22184.5</v>
      </c>
      <c r="F24" s="103">
        <f>F27+F28+F29+F30</f>
        <v>22184.5</v>
      </c>
      <c r="G24" s="103">
        <f>G27+G28+G29+G30</f>
        <v>0</v>
      </c>
      <c r="H24" s="103">
        <f>H27+H28+H29+H30</f>
        <v>22184.5</v>
      </c>
      <c r="I24" s="26"/>
      <c r="J24" s="15">
        <f>J27</f>
        <v>0</v>
      </c>
      <c r="K24" s="15">
        <f>K27</f>
        <v>0</v>
      </c>
      <c r="L24" s="26">
        <f>L27</f>
        <v>0</v>
      </c>
      <c r="M24" s="16"/>
      <c r="Q24" s="103">
        <f>Q27+Q28+Q29+Q30</f>
        <v>22184.5</v>
      </c>
    </row>
    <row r="25" spans="1:17" ht="77.25" customHeight="1">
      <c r="A25" s="24"/>
      <c r="B25" s="107" t="s">
        <v>222</v>
      </c>
      <c r="C25" s="22" t="s">
        <v>68</v>
      </c>
      <c r="D25" s="103"/>
      <c r="E25" s="103"/>
      <c r="F25" s="103">
        <f>F24</f>
        <v>22184.5</v>
      </c>
      <c r="G25" s="103"/>
      <c r="H25" s="103"/>
      <c r="I25" s="26"/>
      <c r="J25" s="15"/>
      <c r="K25" s="15"/>
      <c r="L25" s="26"/>
      <c r="M25" s="16"/>
      <c r="Q25" s="103"/>
    </row>
    <row r="26" spans="1:17" ht="58.5" customHeight="1">
      <c r="A26" s="24"/>
      <c r="B26" s="108" t="s">
        <v>67</v>
      </c>
      <c r="C26" s="22" t="s">
        <v>68</v>
      </c>
      <c r="D26" s="103"/>
      <c r="E26" s="103"/>
      <c r="F26" s="103">
        <f>F25</f>
        <v>22184.5</v>
      </c>
      <c r="G26" s="103"/>
      <c r="H26" s="103"/>
      <c r="I26" s="26"/>
      <c r="J26" s="15"/>
      <c r="K26" s="15"/>
      <c r="L26" s="26"/>
      <c r="M26" s="16"/>
      <c r="Q26" s="103"/>
    </row>
    <row r="27" spans="1:17" ht="171.75" customHeight="1">
      <c r="A27" s="24" t="s">
        <v>25</v>
      </c>
      <c r="B27" s="27" t="s">
        <v>220</v>
      </c>
      <c r="C27" s="24" t="s">
        <v>68</v>
      </c>
      <c r="D27" s="102"/>
      <c r="E27" s="102">
        <f>D27+H27</f>
        <v>5738.5</v>
      </c>
      <c r="F27" s="102">
        <v>6689.2</v>
      </c>
      <c r="G27" s="102">
        <f>F27-E27</f>
        <v>950.6999999999998</v>
      </c>
      <c r="H27" s="102">
        <v>5738.5</v>
      </c>
      <c r="I27" s="81" t="s">
        <v>173</v>
      </c>
      <c r="J27" s="20"/>
      <c r="K27" s="20"/>
      <c r="L27" s="21"/>
      <c r="M27" s="21"/>
      <c r="Q27" s="102">
        <v>6689.2</v>
      </c>
    </row>
    <row r="28" spans="1:17" ht="117.75" customHeight="1">
      <c r="A28" s="24" t="s">
        <v>26</v>
      </c>
      <c r="B28" s="27" t="s">
        <v>219</v>
      </c>
      <c r="C28" s="24" t="s">
        <v>68</v>
      </c>
      <c r="D28" s="102"/>
      <c r="E28" s="102">
        <f>D28+H28</f>
        <v>6593.5</v>
      </c>
      <c r="F28" s="102">
        <v>7818.8</v>
      </c>
      <c r="G28" s="102">
        <f>F28-E28</f>
        <v>1225.3000000000002</v>
      </c>
      <c r="H28" s="102">
        <v>6593.5</v>
      </c>
      <c r="I28" s="81" t="s">
        <v>173</v>
      </c>
      <c r="J28" s="20"/>
      <c r="K28" s="20"/>
      <c r="L28" s="21"/>
      <c r="M28" s="21"/>
      <c r="Q28" s="102">
        <v>7818.8</v>
      </c>
    </row>
    <row r="29" spans="1:17" ht="96.75" customHeight="1">
      <c r="A29" s="24" t="s">
        <v>27</v>
      </c>
      <c r="B29" s="27" t="s">
        <v>171</v>
      </c>
      <c r="C29" s="24" t="s">
        <v>68</v>
      </c>
      <c r="D29" s="102"/>
      <c r="E29" s="102">
        <f>D29+H29</f>
        <v>6337</v>
      </c>
      <c r="F29" s="102">
        <v>4141.5</v>
      </c>
      <c r="G29" s="102">
        <f>F29-E29</f>
        <v>-2195.5</v>
      </c>
      <c r="H29" s="102">
        <v>6337</v>
      </c>
      <c r="I29" s="81" t="s">
        <v>173</v>
      </c>
      <c r="J29" s="20"/>
      <c r="K29" s="20"/>
      <c r="L29" s="21"/>
      <c r="M29" s="21"/>
      <c r="Q29" s="102">
        <v>4141.5</v>
      </c>
    </row>
    <row r="30" spans="1:17" ht="108.75" customHeight="1">
      <c r="A30" s="24" t="s">
        <v>38</v>
      </c>
      <c r="B30" s="27" t="s">
        <v>172</v>
      </c>
      <c r="C30" s="24" t="s">
        <v>68</v>
      </c>
      <c r="D30" s="102"/>
      <c r="E30" s="102">
        <f>D30+H30</f>
        <v>3515.5</v>
      </c>
      <c r="F30" s="21">
        <v>3535</v>
      </c>
      <c r="G30" s="102">
        <f>F30-E30</f>
        <v>19.5</v>
      </c>
      <c r="H30" s="102">
        <v>3515.5</v>
      </c>
      <c r="I30" s="81" t="s">
        <v>173</v>
      </c>
      <c r="J30" s="20"/>
      <c r="K30" s="20"/>
      <c r="L30" s="21"/>
      <c r="M30" s="21"/>
      <c r="Q30" s="102">
        <v>3535</v>
      </c>
    </row>
    <row r="31" spans="1:17" ht="27.75" customHeight="1">
      <c r="A31" s="22" t="s">
        <v>18</v>
      </c>
      <c r="B31" s="25" t="s">
        <v>40</v>
      </c>
      <c r="C31" s="22" t="s">
        <v>41</v>
      </c>
      <c r="D31" s="103">
        <f>D32+D42+D35</f>
        <v>108060</v>
      </c>
      <c r="E31" s="103">
        <f>E32+E42+E35</f>
        <v>116176.3</v>
      </c>
      <c r="F31" s="103">
        <f>F32+F42+F35</f>
        <v>131069.7</v>
      </c>
      <c r="G31" s="103">
        <f>G32+G42+G35</f>
        <v>14893.399999999994</v>
      </c>
      <c r="H31" s="103">
        <f>H32+H42+H35</f>
        <v>8116.299999999999</v>
      </c>
      <c r="I31" s="26"/>
      <c r="J31" s="15">
        <f>J32+J42</f>
        <v>89788</v>
      </c>
      <c r="K31" s="15">
        <f>K32+K42</f>
        <v>0</v>
      </c>
      <c r="L31" s="26">
        <f>L32+L42</f>
        <v>0</v>
      </c>
      <c r="M31" s="16"/>
      <c r="Q31" s="103">
        <f>Q32+Q42+Q35</f>
        <v>89705.3</v>
      </c>
    </row>
    <row r="32" spans="1:17" ht="27.75" customHeight="1">
      <c r="A32" s="22"/>
      <c r="B32" s="29" t="s">
        <v>127</v>
      </c>
      <c r="C32" s="22" t="s">
        <v>43</v>
      </c>
      <c r="D32" s="103">
        <f>D34</f>
        <v>89600</v>
      </c>
      <c r="E32" s="103">
        <f>E34</f>
        <v>89600</v>
      </c>
      <c r="F32" s="103">
        <f>F34</f>
        <v>104493.4</v>
      </c>
      <c r="G32" s="103">
        <f>G34</f>
        <v>14893.399999999994</v>
      </c>
      <c r="H32" s="103">
        <f>H34</f>
        <v>0</v>
      </c>
      <c r="I32" s="26"/>
      <c r="J32" s="15">
        <f>J34</f>
        <v>84000</v>
      </c>
      <c r="K32" s="15">
        <f>K34</f>
        <v>0</v>
      </c>
      <c r="L32" s="26">
        <f>L34</f>
        <v>0</v>
      </c>
      <c r="M32" s="16"/>
      <c r="Q32" s="103">
        <f>Q34</f>
        <v>63129</v>
      </c>
    </row>
    <row r="33" spans="1:17" ht="84" customHeight="1">
      <c r="A33" s="22"/>
      <c r="B33" s="27" t="s">
        <v>11</v>
      </c>
      <c r="C33" s="22" t="s">
        <v>43</v>
      </c>
      <c r="D33" s="102"/>
      <c r="E33" s="102"/>
      <c r="F33" s="103">
        <f>F34</f>
        <v>104493.4</v>
      </c>
      <c r="G33" s="102"/>
      <c r="H33" s="102"/>
      <c r="I33" s="21"/>
      <c r="J33" s="20"/>
      <c r="K33" s="20"/>
      <c r="L33" s="21"/>
      <c r="M33" s="21"/>
      <c r="Q33" s="102"/>
    </row>
    <row r="34" spans="1:18" ht="49.5" customHeight="1">
      <c r="A34" s="24" t="s">
        <v>39</v>
      </c>
      <c r="B34" s="27" t="s">
        <v>44</v>
      </c>
      <c r="C34" s="24" t="s">
        <v>43</v>
      </c>
      <c r="D34" s="102">
        <v>89600</v>
      </c>
      <c r="E34" s="102">
        <f>D34+H34</f>
        <v>89600</v>
      </c>
      <c r="F34" s="102">
        <f>104150+343.4</f>
        <v>104493.4</v>
      </c>
      <c r="G34" s="102">
        <f>F34-E34</f>
        <v>14893.399999999994</v>
      </c>
      <c r="H34" s="102"/>
      <c r="I34" s="81" t="s">
        <v>7</v>
      </c>
      <c r="J34" s="20">
        <v>84000</v>
      </c>
      <c r="K34" s="20"/>
      <c r="L34" s="21"/>
      <c r="M34" s="21"/>
      <c r="Q34" s="102">
        <v>63129</v>
      </c>
      <c r="R34" s="55">
        <f aca="true" t="shared" si="1" ref="R34:R69">H34+D34</f>
        <v>89600</v>
      </c>
    </row>
    <row r="35" spans="1:18" ht="22.5" customHeight="1" hidden="1">
      <c r="A35" s="24"/>
      <c r="B35" s="25" t="s">
        <v>58</v>
      </c>
      <c r="C35" s="22" t="s">
        <v>59</v>
      </c>
      <c r="D35" s="103">
        <f>D36</f>
        <v>18460</v>
      </c>
      <c r="E35" s="103">
        <f>E36</f>
        <v>0</v>
      </c>
      <c r="F35" s="103">
        <f>F36</f>
        <v>0</v>
      </c>
      <c r="G35" s="103"/>
      <c r="H35" s="103">
        <f>H36</f>
        <v>-18460</v>
      </c>
      <c r="I35" s="26"/>
      <c r="J35" s="15">
        <f>J36</f>
        <v>18460</v>
      </c>
      <c r="K35" s="15">
        <f>K40</f>
        <v>0</v>
      </c>
      <c r="L35" s="26">
        <f>L40</f>
        <v>0</v>
      </c>
      <c r="M35" s="16"/>
      <c r="Q35" s="103">
        <f>Q36</f>
        <v>0</v>
      </c>
      <c r="R35" s="55">
        <f t="shared" si="1"/>
        <v>0</v>
      </c>
    </row>
    <row r="36" spans="1:18" ht="76.5" customHeight="1" hidden="1">
      <c r="A36" s="24"/>
      <c r="B36" s="29" t="s">
        <v>128</v>
      </c>
      <c r="C36" s="22"/>
      <c r="D36" s="103">
        <f>SUM(D38:D41)</f>
        <v>18460</v>
      </c>
      <c r="E36" s="103">
        <f>SUM(E38:E41)</f>
        <v>0</v>
      </c>
      <c r="F36" s="103">
        <f>SUM(F38:F41)</f>
        <v>0</v>
      </c>
      <c r="G36" s="103"/>
      <c r="H36" s="103">
        <f>SUM(H38:H41)</f>
        <v>-18460</v>
      </c>
      <c r="I36" s="26"/>
      <c r="J36" s="15">
        <f>SUM(J38:J41)</f>
        <v>18460</v>
      </c>
      <c r="K36" s="20"/>
      <c r="L36" s="26"/>
      <c r="M36" s="16"/>
      <c r="Q36" s="103">
        <f>SUM(Q38:Q41)</f>
        <v>0</v>
      </c>
      <c r="R36" s="55">
        <f t="shared" si="1"/>
        <v>0</v>
      </c>
    </row>
    <row r="37" spans="1:18" ht="37.5" customHeight="1" hidden="1">
      <c r="A37" s="24"/>
      <c r="B37" s="29" t="s">
        <v>135</v>
      </c>
      <c r="C37" s="22"/>
      <c r="D37" s="103">
        <f>D36</f>
        <v>18460</v>
      </c>
      <c r="E37" s="103">
        <f>E36</f>
        <v>0</v>
      </c>
      <c r="F37" s="103">
        <f>F36</f>
        <v>0</v>
      </c>
      <c r="G37" s="103"/>
      <c r="H37" s="103">
        <f>H36</f>
        <v>-18460</v>
      </c>
      <c r="I37" s="26"/>
      <c r="J37" s="15"/>
      <c r="K37" s="20"/>
      <c r="L37" s="26"/>
      <c r="M37" s="16"/>
      <c r="Q37" s="103">
        <f>Q36</f>
        <v>0</v>
      </c>
      <c r="R37" s="55">
        <f t="shared" si="1"/>
        <v>0</v>
      </c>
    </row>
    <row r="38" spans="1:18" ht="55.5" customHeight="1" hidden="1">
      <c r="A38" s="24" t="s">
        <v>181</v>
      </c>
      <c r="B38" s="27" t="s">
        <v>119</v>
      </c>
      <c r="C38" s="24" t="s">
        <v>59</v>
      </c>
      <c r="D38" s="102">
        <v>3990</v>
      </c>
      <c r="E38" s="102">
        <f>D38+H38</f>
        <v>0</v>
      </c>
      <c r="F38" s="102"/>
      <c r="G38" s="102">
        <f>F38-E38</f>
        <v>0</v>
      </c>
      <c r="H38" s="102">
        <v>-3990</v>
      </c>
      <c r="I38" s="81" t="s">
        <v>19</v>
      </c>
      <c r="J38" s="20">
        <v>3990</v>
      </c>
      <c r="K38" s="20"/>
      <c r="L38" s="21"/>
      <c r="M38" s="21"/>
      <c r="Q38" s="102"/>
      <c r="R38" s="55">
        <f t="shared" si="1"/>
        <v>0</v>
      </c>
    </row>
    <row r="39" spans="1:19" ht="55.5" customHeight="1" hidden="1">
      <c r="A39" s="24" t="s">
        <v>182</v>
      </c>
      <c r="B39" s="27" t="s">
        <v>129</v>
      </c>
      <c r="C39" s="24" t="s">
        <v>59</v>
      </c>
      <c r="D39" s="102">
        <v>3490</v>
      </c>
      <c r="E39" s="102">
        <f>D39+H39</f>
        <v>0</v>
      </c>
      <c r="F39" s="102"/>
      <c r="G39" s="102">
        <f>F39-E39</f>
        <v>0</v>
      </c>
      <c r="H39" s="102">
        <v>-3490</v>
      </c>
      <c r="I39" s="81" t="s">
        <v>19</v>
      </c>
      <c r="J39" s="20">
        <v>3490</v>
      </c>
      <c r="K39" s="20"/>
      <c r="L39" s="21"/>
      <c r="M39" s="21"/>
      <c r="Q39" s="102"/>
      <c r="R39" s="55">
        <f t="shared" si="1"/>
        <v>0</v>
      </c>
      <c r="S39" s="55">
        <f>H63+H108</f>
        <v>346503.6</v>
      </c>
    </row>
    <row r="40" spans="1:18" ht="51.75" customHeight="1" hidden="1">
      <c r="A40" s="24" t="s">
        <v>183</v>
      </c>
      <c r="B40" s="30" t="s">
        <v>120</v>
      </c>
      <c r="C40" s="24" t="s">
        <v>59</v>
      </c>
      <c r="D40" s="102">
        <v>5490</v>
      </c>
      <c r="E40" s="102">
        <f>D40+H40</f>
        <v>0</v>
      </c>
      <c r="F40" s="102"/>
      <c r="G40" s="102">
        <f>F40-E40</f>
        <v>0</v>
      </c>
      <c r="H40" s="102">
        <v>-5490</v>
      </c>
      <c r="I40" s="81" t="s">
        <v>19</v>
      </c>
      <c r="J40" s="20">
        <v>5490</v>
      </c>
      <c r="K40" s="20"/>
      <c r="L40" s="21"/>
      <c r="M40" s="21"/>
      <c r="Q40" s="102"/>
      <c r="R40" s="55">
        <f t="shared" si="1"/>
        <v>0</v>
      </c>
    </row>
    <row r="41" spans="1:18" ht="51" customHeight="1" hidden="1">
      <c r="A41" s="24" t="s">
        <v>184</v>
      </c>
      <c r="B41" s="30" t="s">
        <v>121</v>
      </c>
      <c r="C41" s="24" t="s">
        <v>59</v>
      </c>
      <c r="D41" s="102">
        <v>5490</v>
      </c>
      <c r="E41" s="102">
        <f>D41+H41</f>
        <v>0</v>
      </c>
      <c r="F41" s="102"/>
      <c r="G41" s="102">
        <f>F41-E41</f>
        <v>0</v>
      </c>
      <c r="H41" s="102">
        <v>-5490</v>
      </c>
      <c r="I41" s="81" t="s">
        <v>19</v>
      </c>
      <c r="J41" s="20">
        <v>5490</v>
      </c>
      <c r="K41" s="20"/>
      <c r="L41" s="21"/>
      <c r="M41" s="21"/>
      <c r="Q41" s="102"/>
      <c r="R41" s="55">
        <f t="shared" si="1"/>
        <v>0</v>
      </c>
    </row>
    <row r="42" spans="1:18" ht="48" customHeight="1">
      <c r="A42" s="22"/>
      <c r="B42" s="29" t="s">
        <v>45</v>
      </c>
      <c r="C42" s="22" t="s">
        <v>46</v>
      </c>
      <c r="D42" s="103">
        <f>D44+D47</f>
        <v>0</v>
      </c>
      <c r="E42" s="103">
        <f>E44+E47</f>
        <v>26576.3</v>
      </c>
      <c r="F42" s="103">
        <f>F44+F47</f>
        <v>26576.3</v>
      </c>
      <c r="G42" s="103">
        <f>G44+G47</f>
        <v>0</v>
      </c>
      <c r="H42" s="103">
        <f>H44+H47</f>
        <v>26576.3</v>
      </c>
      <c r="I42" s="26"/>
      <c r="J42" s="15">
        <f>J44+J47</f>
        <v>5788</v>
      </c>
      <c r="K42" s="15">
        <f>K44+K47</f>
        <v>0</v>
      </c>
      <c r="L42" s="26">
        <f>L44+L47</f>
        <v>0</v>
      </c>
      <c r="M42" s="16"/>
      <c r="Q42" s="103">
        <f>Q44+Q47</f>
        <v>26576.3</v>
      </c>
      <c r="R42" s="55">
        <f t="shared" si="1"/>
        <v>26576.3</v>
      </c>
    </row>
    <row r="43" spans="1:18" ht="69" customHeight="1">
      <c r="A43" s="22"/>
      <c r="B43" s="29" t="s">
        <v>47</v>
      </c>
      <c r="C43" s="22" t="s">
        <v>46</v>
      </c>
      <c r="D43" s="103">
        <f>D44</f>
        <v>0</v>
      </c>
      <c r="E43" s="103">
        <f>E42</f>
        <v>26576.3</v>
      </c>
      <c r="F43" s="103">
        <f>F42</f>
        <v>26576.3</v>
      </c>
      <c r="G43" s="103">
        <f>G42</f>
        <v>0</v>
      </c>
      <c r="H43" s="103">
        <f>H42</f>
        <v>26576.3</v>
      </c>
      <c r="I43" s="21"/>
      <c r="J43" s="20"/>
      <c r="K43" s="20"/>
      <c r="L43" s="21"/>
      <c r="M43" s="21"/>
      <c r="Q43" s="103">
        <f>Q42</f>
        <v>26576.3</v>
      </c>
      <c r="R43" s="55">
        <f t="shared" si="1"/>
        <v>26576.3</v>
      </c>
    </row>
    <row r="44" spans="1:18" ht="30" customHeight="1">
      <c r="A44" s="22"/>
      <c r="B44" s="29" t="s">
        <v>48</v>
      </c>
      <c r="C44" s="22" t="s">
        <v>46</v>
      </c>
      <c r="D44" s="103">
        <f>D46+D45</f>
        <v>0</v>
      </c>
      <c r="E44" s="103">
        <f>E46+E45</f>
        <v>9965</v>
      </c>
      <c r="F44" s="26">
        <f>F46+F45</f>
        <v>9965</v>
      </c>
      <c r="G44" s="103">
        <f>G46+G45</f>
        <v>0</v>
      </c>
      <c r="H44" s="103">
        <f>H46+H45</f>
        <v>9965</v>
      </c>
      <c r="I44" s="26"/>
      <c r="J44" s="15">
        <f>J46+J45</f>
        <v>0</v>
      </c>
      <c r="K44" s="15">
        <f>K46+K45</f>
        <v>0</v>
      </c>
      <c r="L44" s="26">
        <f>L46+L45</f>
        <v>0</v>
      </c>
      <c r="M44" s="16"/>
      <c r="Q44" s="103">
        <f>Q46+Q45</f>
        <v>9965</v>
      </c>
      <c r="R44" s="55">
        <f t="shared" si="1"/>
        <v>9965</v>
      </c>
    </row>
    <row r="45" spans="1:18" ht="57.75" customHeight="1">
      <c r="A45" s="24" t="s">
        <v>181</v>
      </c>
      <c r="B45" s="27" t="s">
        <v>225</v>
      </c>
      <c r="C45" s="24" t="s">
        <v>46</v>
      </c>
      <c r="D45" s="102"/>
      <c r="E45" s="102">
        <f>D45+H45</f>
        <v>9965</v>
      </c>
      <c r="F45" s="21">
        <v>9965</v>
      </c>
      <c r="G45" s="102">
        <f>F45-E45</f>
        <v>0</v>
      </c>
      <c r="H45" s="102">
        <v>9965</v>
      </c>
      <c r="I45" s="81" t="s">
        <v>19</v>
      </c>
      <c r="J45" s="20"/>
      <c r="K45" s="20"/>
      <c r="L45" s="21"/>
      <c r="M45" s="21"/>
      <c r="Q45" s="102">
        <v>9965</v>
      </c>
      <c r="R45" s="55">
        <f t="shared" si="1"/>
        <v>9965</v>
      </c>
    </row>
    <row r="46" spans="1:18" ht="59.25" customHeight="1" hidden="1">
      <c r="A46" s="24" t="s">
        <v>38</v>
      </c>
      <c r="B46" s="23"/>
      <c r="C46" s="24" t="s">
        <v>46</v>
      </c>
      <c r="D46" s="102"/>
      <c r="E46" s="102"/>
      <c r="F46" s="102"/>
      <c r="G46" s="102"/>
      <c r="H46" s="102"/>
      <c r="I46" s="21"/>
      <c r="J46" s="20"/>
      <c r="K46" s="20"/>
      <c r="L46" s="21"/>
      <c r="M46" s="21"/>
      <c r="Q46" s="102"/>
      <c r="R46" s="55">
        <f t="shared" si="1"/>
        <v>0</v>
      </c>
    </row>
    <row r="47" spans="1:18" ht="59.25" customHeight="1">
      <c r="A47" s="24"/>
      <c r="B47" s="29" t="s">
        <v>67</v>
      </c>
      <c r="C47" s="22" t="s">
        <v>46</v>
      </c>
      <c r="D47" s="103">
        <f>D53</f>
        <v>0</v>
      </c>
      <c r="E47" s="103">
        <f>E53+E48+E49+E50+E51+E52+E54+E55+E56</f>
        <v>16611.3</v>
      </c>
      <c r="F47" s="103">
        <f>F53+F48+F49+F50+F51+F52+F54+F55+F56</f>
        <v>16611.3</v>
      </c>
      <c r="G47" s="103">
        <f>G53+G48+G49+G50+G51+G52+G54+G55+G56</f>
        <v>0</v>
      </c>
      <c r="H47" s="103">
        <f>H53+H48+H49+H50+H51+H52+H54+H55+H56</f>
        <v>16611.3</v>
      </c>
      <c r="I47" s="26"/>
      <c r="J47" s="15">
        <f>SUM(J48:J52)</f>
        <v>5788</v>
      </c>
      <c r="K47" s="15">
        <f>K53</f>
        <v>0</v>
      </c>
      <c r="L47" s="26">
        <f>L53</f>
        <v>0</v>
      </c>
      <c r="M47" s="16"/>
      <c r="Q47" s="103">
        <f>Q53+Q48+Q49+Q50+Q51+Q52+Q54+Q55+Q56</f>
        <v>16611.3</v>
      </c>
      <c r="R47" s="55">
        <f t="shared" si="1"/>
        <v>16611.3</v>
      </c>
    </row>
    <row r="48" spans="1:18" ht="76.5" customHeight="1" hidden="1">
      <c r="A48" s="24" t="s">
        <v>182</v>
      </c>
      <c r="B48" s="27" t="s">
        <v>174</v>
      </c>
      <c r="C48" s="24" t="s">
        <v>46</v>
      </c>
      <c r="D48" s="103"/>
      <c r="E48" s="102">
        <f aca="true" t="shared" si="2" ref="E48:E56">D48+H48</f>
        <v>882.1</v>
      </c>
      <c r="F48" s="102"/>
      <c r="G48" s="102">
        <f aca="true" t="shared" si="3" ref="G48:G56">F48-E48</f>
        <v>-882.1</v>
      </c>
      <c r="H48" s="102">
        <v>882.1</v>
      </c>
      <c r="I48" s="81" t="s">
        <v>173</v>
      </c>
      <c r="J48" s="20">
        <v>1600</v>
      </c>
      <c r="K48" s="15"/>
      <c r="L48" s="26"/>
      <c r="M48" s="16"/>
      <c r="Q48" s="102"/>
      <c r="R48" s="55">
        <f t="shared" si="1"/>
        <v>882.1</v>
      </c>
    </row>
    <row r="49" spans="1:18" ht="94.5" customHeight="1">
      <c r="A49" s="24" t="s">
        <v>182</v>
      </c>
      <c r="B49" s="27" t="s">
        <v>217</v>
      </c>
      <c r="C49" s="24" t="s">
        <v>46</v>
      </c>
      <c r="D49" s="103"/>
      <c r="E49" s="102">
        <f t="shared" si="2"/>
        <v>2022.1</v>
      </c>
      <c r="F49" s="102">
        <v>2022.1</v>
      </c>
      <c r="G49" s="102">
        <f t="shared" si="3"/>
        <v>0</v>
      </c>
      <c r="H49" s="102">
        <v>2022.1</v>
      </c>
      <c r="I49" s="81" t="s">
        <v>173</v>
      </c>
      <c r="J49" s="20">
        <v>2050</v>
      </c>
      <c r="K49" s="15"/>
      <c r="L49" s="26"/>
      <c r="M49" s="16"/>
      <c r="Q49" s="102">
        <v>2022.1</v>
      </c>
      <c r="R49" s="55">
        <f t="shared" si="1"/>
        <v>2022.1</v>
      </c>
    </row>
    <row r="50" spans="1:18" ht="93" customHeight="1">
      <c r="A50" s="24" t="s">
        <v>183</v>
      </c>
      <c r="B50" s="27" t="s">
        <v>175</v>
      </c>
      <c r="C50" s="24" t="s">
        <v>46</v>
      </c>
      <c r="D50" s="103"/>
      <c r="E50" s="102">
        <f t="shared" si="2"/>
        <v>2022.1</v>
      </c>
      <c r="F50" s="102">
        <v>2022.1</v>
      </c>
      <c r="G50" s="102">
        <f t="shared" si="3"/>
        <v>0</v>
      </c>
      <c r="H50" s="102">
        <v>2022.1</v>
      </c>
      <c r="I50" s="81" t="s">
        <v>173</v>
      </c>
      <c r="J50" s="20">
        <v>735</v>
      </c>
      <c r="K50" s="15"/>
      <c r="L50" s="26"/>
      <c r="M50" s="16"/>
      <c r="Q50" s="102">
        <v>2022.1</v>
      </c>
      <c r="R50" s="55">
        <f t="shared" si="1"/>
        <v>2022.1</v>
      </c>
    </row>
    <row r="51" spans="1:18" ht="76.5" customHeight="1">
      <c r="A51" s="24" t="s">
        <v>184</v>
      </c>
      <c r="B51" s="27" t="s">
        <v>176</v>
      </c>
      <c r="C51" s="24" t="s">
        <v>46</v>
      </c>
      <c r="D51" s="103"/>
      <c r="E51" s="102">
        <f t="shared" si="2"/>
        <v>1425</v>
      </c>
      <c r="F51" s="102">
        <v>4417.5</v>
      </c>
      <c r="G51" s="102">
        <f t="shared" si="3"/>
        <v>2992.5</v>
      </c>
      <c r="H51" s="102">
        <v>1425</v>
      </c>
      <c r="I51" s="81" t="s">
        <v>173</v>
      </c>
      <c r="J51" s="20">
        <v>686</v>
      </c>
      <c r="K51" s="15"/>
      <c r="L51" s="26"/>
      <c r="M51" s="16"/>
      <c r="Q51" s="102">
        <v>4417.5</v>
      </c>
      <c r="R51" s="55">
        <f t="shared" si="1"/>
        <v>1425</v>
      </c>
    </row>
    <row r="52" spans="1:18" ht="68.25" customHeight="1">
      <c r="A52" s="24" t="s">
        <v>185</v>
      </c>
      <c r="B52" s="27" t="s">
        <v>177</v>
      </c>
      <c r="C52" s="24" t="s">
        <v>46</v>
      </c>
      <c r="D52" s="102"/>
      <c r="E52" s="102">
        <f t="shared" si="2"/>
        <v>1425</v>
      </c>
      <c r="F52" s="102">
        <v>4417.5</v>
      </c>
      <c r="G52" s="102">
        <f t="shared" si="3"/>
        <v>2992.5</v>
      </c>
      <c r="H52" s="102">
        <v>1425</v>
      </c>
      <c r="I52" s="81" t="s">
        <v>173</v>
      </c>
      <c r="J52" s="20">
        <v>717</v>
      </c>
      <c r="K52" s="20"/>
      <c r="L52" s="21"/>
      <c r="M52" s="21"/>
      <c r="Q52" s="102">
        <v>4417.5</v>
      </c>
      <c r="R52" s="55">
        <f t="shared" si="1"/>
        <v>1425</v>
      </c>
    </row>
    <row r="53" spans="1:18" ht="192" customHeight="1">
      <c r="A53" s="24" t="s">
        <v>186</v>
      </c>
      <c r="B53" s="27" t="s">
        <v>216</v>
      </c>
      <c r="C53" s="24" t="s">
        <v>46</v>
      </c>
      <c r="D53" s="102"/>
      <c r="E53" s="102">
        <f t="shared" si="2"/>
        <v>2850</v>
      </c>
      <c r="F53" s="102">
        <v>3732.1</v>
      </c>
      <c r="G53" s="102">
        <f t="shared" si="3"/>
        <v>882.0999999999999</v>
      </c>
      <c r="H53" s="102">
        <v>2850</v>
      </c>
      <c r="I53" s="81" t="s">
        <v>173</v>
      </c>
      <c r="J53" s="20"/>
      <c r="K53" s="20"/>
      <c r="L53" s="21"/>
      <c r="M53" s="21"/>
      <c r="Q53" s="102">
        <v>3732.1</v>
      </c>
      <c r="R53" s="55">
        <f t="shared" si="1"/>
        <v>2850</v>
      </c>
    </row>
    <row r="54" spans="1:18" ht="78.75" customHeight="1" hidden="1">
      <c r="A54" s="24" t="s">
        <v>187</v>
      </c>
      <c r="B54" s="27" t="s">
        <v>178</v>
      </c>
      <c r="C54" s="24" t="s">
        <v>46</v>
      </c>
      <c r="D54" s="102"/>
      <c r="E54" s="102">
        <f t="shared" si="2"/>
        <v>997.5</v>
      </c>
      <c r="F54" s="102"/>
      <c r="G54" s="102">
        <f t="shared" si="3"/>
        <v>-997.5</v>
      </c>
      <c r="H54" s="102">
        <v>997.5</v>
      </c>
      <c r="I54" s="81" t="s">
        <v>173</v>
      </c>
      <c r="J54" s="20"/>
      <c r="K54" s="20"/>
      <c r="L54" s="21"/>
      <c r="M54" s="21"/>
      <c r="Q54" s="102"/>
      <c r="R54" s="55">
        <f t="shared" si="1"/>
        <v>997.5</v>
      </c>
    </row>
    <row r="55" spans="1:18" ht="75.75" customHeight="1" hidden="1">
      <c r="A55" s="24" t="s">
        <v>188</v>
      </c>
      <c r="B55" s="27" t="s">
        <v>179</v>
      </c>
      <c r="C55" s="24" t="s">
        <v>46</v>
      </c>
      <c r="D55" s="102"/>
      <c r="E55" s="102">
        <f t="shared" si="2"/>
        <v>2137.5</v>
      </c>
      <c r="F55" s="102"/>
      <c r="G55" s="102">
        <f t="shared" si="3"/>
        <v>-2137.5</v>
      </c>
      <c r="H55" s="102">
        <v>2137.5</v>
      </c>
      <c r="I55" s="81" t="s">
        <v>173</v>
      </c>
      <c r="J55" s="20"/>
      <c r="K55" s="20"/>
      <c r="L55" s="21"/>
      <c r="M55" s="21"/>
      <c r="Q55" s="102"/>
      <c r="R55" s="55">
        <f t="shared" si="1"/>
        <v>2137.5</v>
      </c>
    </row>
    <row r="56" spans="1:18" ht="75" customHeight="1" hidden="1">
      <c r="A56" s="24" t="s">
        <v>86</v>
      </c>
      <c r="B56" s="27" t="s">
        <v>180</v>
      </c>
      <c r="C56" s="24" t="s">
        <v>46</v>
      </c>
      <c r="D56" s="102"/>
      <c r="E56" s="102">
        <f t="shared" si="2"/>
        <v>2850</v>
      </c>
      <c r="F56" s="102"/>
      <c r="G56" s="102">
        <f t="shared" si="3"/>
        <v>-2850</v>
      </c>
      <c r="H56" s="102">
        <v>2850</v>
      </c>
      <c r="I56" s="81" t="s">
        <v>173</v>
      </c>
      <c r="J56" s="20"/>
      <c r="K56" s="20"/>
      <c r="L56" s="21"/>
      <c r="M56" s="21"/>
      <c r="Q56" s="102"/>
      <c r="R56" s="55">
        <f t="shared" si="1"/>
        <v>2850</v>
      </c>
    </row>
    <row r="57" spans="1:18" s="5" customFormat="1" ht="27.75" customHeight="1">
      <c r="A57" s="22" t="s">
        <v>84</v>
      </c>
      <c r="B57" s="25" t="s">
        <v>112</v>
      </c>
      <c r="C57" s="22" t="s">
        <v>113</v>
      </c>
      <c r="D57" s="103">
        <f aca="true" t="shared" si="4" ref="D57:L59">D58</f>
        <v>0</v>
      </c>
      <c r="E57" s="103">
        <f t="shared" si="4"/>
        <v>0</v>
      </c>
      <c r="F57" s="15">
        <f t="shared" si="4"/>
        <v>1035.33</v>
      </c>
      <c r="G57" s="103">
        <f t="shared" si="4"/>
        <v>1035.33</v>
      </c>
      <c r="H57" s="103">
        <f t="shared" si="4"/>
        <v>0</v>
      </c>
      <c r="I57" s="103"/>
      <c r="J57" s="15">
        <f t="shared" si="4"/>
        <v>0</v>
      </c>
      <c r="K57" s="15">
        <f t="shared" si="4"/>
        <v>0</v>
      </c>
      <c r="L57" s="103">
        <f t="shared" si="4"/>
        <v>0</v>
      </c>
      <c r="M57" s="31"/>
      <c r="Q57" s="103">
        <f>Q58</f>
        <v>1035.3</v>
      </c>
      <c r="R57" s="55">
        <f t="shared" si="1"/>
        <v>0</v>
      </c>
    </row>
    <row r="58" spans="1:18" s="5" customFormat="1" ht="46.5" customHeight="1">
      <c r="A58" s="22"/>
      <c r="B58" s="29" t="s">
        <v>115</v>
      </c>
      <c r="C58" s="22" t="s">
        <v>113</v>
      </c>
      <c r="D58" s="103">
        <f t="shared" si="4"/>
        <v>0</v>
      </c>
      <c r="E58" s="103">
        <f t="shared" si="4"/>
        <v>0</v>
      </c>
      <c r="F58" s="15">
        <f t="shared" si="4"/>
        <v>1035.33</v>
      </c>
      <c r="G58" s="103">
        <f t="shared" si="4"/>
        <v>1035.33</v>
      </c>
      <c r="H58" s="103">
        <f t="shared" si="4"/>
        <v>0</v>
      </c>
      <c r="I58" s="103"/>
      <c r="J58" s="15">
        <f t="shared" si="4"/>
        <v>0</v>
      </c>
      <c r="K58" s="15">
        <f t="shared" si="4"/>
        <v>0</v>
      </c>
      <c r="L58" s="103">
        <f t="shared" si="4"/>
        <v>0</v>
      </c>
      <c r="M58" s="31"/>
      <c r="Q58" s="103">
        <f>Q59</f>
        <v>1035.3</v>
      </c>
      <c r="R58" s="55">
        <f t="shared" si="1"/>
        <v>0</v>
      </c>
    </row>
    <row r="59" spans="1:18" s="5" customFormat="1" ht="50.25" customHeight="1">
      <c r="A59" s="24"/>
      <c r="B59" s="29" t="s">
        <v>116</v>
      </c>
      <c r="C59" s="22" t="s">
        <v>113</v>
      </c>
      <c r="D59" s="103">
        <f t="shared" si="4"/>
        <v>0</v>
      </c>
      <c r="E59" s="103">
        <f t="shared" si="4"/>
        <v>0</v>
      </c>
      <c r="F59" s="15">
        <f t="shared" si="4"/>
        <v>1035.33</v>
      </c>
      <c r="G59" s="103">
        <f t="shared" si="4"/>
        <v>1035.33</v>
      </c>
      <c r="H59" s="103">
        <f t="shared" si="4"/>
        <v>0</v>
      </c>
      <c r="I59" s="103"/>
      <c r="J59" s="15">
        <f t="shared" si="4"/>
        <v>0</v>
      </c>
      <c r="K59" s="15">
        <f t="shared" si="4"/>
        <v>0</v>
      </c>
      <c r="L59" s="103">
        <f t="shared" si="4"/>
        <v>0</v>
      </c>
      <c r="M59" s="31"/>
      <c r="Q59" s="103">
        <f>Q60</f>
        <v>1035.3</v>
      </c>
      <c r="R59" s="55">
        <f t="shared" si="1"/>
        <v>0</v>
      </c>
    </row>
    <row r="60" spans="1:18" s="5" customFormat="1" ht="105.75" customHeight="1">
      <c r="A60" s="24"/>
      <c r="B60" s="29" t="s">
        <v>206</v>
      </c>
      <c r="C60" s="22" t="s">
        <v>113</v>
      </c>
      <c r="D60" s="103">
        <f>SUM(D61:D62)</f>
        <v>0</v>
      </c>
      <c r="E60" s="103">
        <f>SUM(E61:E62)</f>
        <v>0</v>
      </c>
      <c r="F60" s="15">
        <f>SUM(F61:F62)</f>
        <v>1035.33</v>
      </c>
      <c r="G60" s="103">
        <f>SUM(G61:G62)</f>
        <v>1035.33</v>
      </c>
      <c r="H60" s="103">
        <f>SUM(H61:H62)</f>
        <v>0</v>
      </c>
      <c r="I60" s="103"/>
      <c r="J60" s="15">
        <f>SUM(J61:J62)</f>
        <v>0</v>
      </c>
      <c r="K60" s="15">
        <f>SUM(K61:K62)</f>
        <v>0</v>
      </c>
      <c r="L60" s="103">
        <f>SUM(L61:L62)</f>
        <v>0</v>
      </c>
      <c r="M60" s="103"/>
      <c r="Q60" s="103">
        <f>SUM(Q61:Q62)</f>
        <v>1035.3</v>
      </c>
      <c r="R60" s="55">
        <f t="shared" si="1"/>
        <v>0</v>
      </c>
    </row>
    <row r="61" spans="1:18" s="5" customFormat="1" ht="69.75" customHeight="1">
      <c r="A61" s="32">
        <v>12</v>
      </c>
      <c r="B61" s="27" t="s">
        <v>207</v>
      </c>
      <c r="C61" s="24" t="s">
        <v>114</v>
      </c>
      <c r="D61" s="92"/>
      <c r="E61" s="92"/>
      <c r="F61" s="33">
        <v>1035.33</v>
      </c>
      <c r="G61" s="102">
        <f>F61-E61</f>
        <v>1035.33</v>
      </c>
      <c r="H61" s="92"/>
      <c r="I61" s="81" t="s">
        <v>214</v>
      </c>
      <c r="J61" s="33"/>
      <c r="K61" s="33"/>
      <c r="L61" s="92"/>
      <c r="M61" s="35"/>
      <c r="Q61" s="92">
        <v>1035.3</v>
      </c>
      <c r="R61" s="55">
        <f t="shared" si="1"/>
        <v>0</v>
      </c>
    </row>
    <row r="62" spans="1:18" s="5" customFormat="1" ht="89.25" customHeight="1" hidden="1">
      <c r="A62" s="32">
        <v>7</v>
      </c>
      <c r="B62" s="27" t="s">
        <v>208</v>
      </c>
      <c r="C62" s="24" t="s">
        <v>205</v>
      </c>
      <c r="D62" s="92"/>
      <c r="E62" s="92"/>
      <c r="F62" s="92"/>
      <c r="G62" s="102">
        <f>F62-E62</f>
        <v>0</v>
      </c>
      <c r="H62" s="92"/>
      <c r="I62" s="93"/>
      <c r="J62" s="33"/>
      <c r="K62" s="33"/>
      <c r="L62" s="93"/>
      <c r="M62" s="34"/>
      <c r="Q62" s="92"/>
      <c r="R62" s="55">
        <f t="shared" si="1"/>
        <v>0</v>
      </c>
    </row>
    <row r="63" spans="1:18" s="5" customFormat="1" ht="33" customHeight="1">
      <c r="A63" s="22" t="s">
        <v>49</v>
      </c>
      <c r="B63" s="25" t="s">
        <v>132</v>
      </c>
      <c r="C63" s="22" t="s">
        <v>24</v>
      </c>
      <c r="D63" s="103">
        <f>D64</f>
        <v>372399</v>
      </c>
      <c r="E63" s="103">
        <f>E64</f>
        <v>675063.3</v>
      </c>
      <c r="F63" s="103">
        <f>F64</f>
        <v>690766.8</v>
      </c>
      <c r="G63" s="103">
        <f>G64</f>
        <v>15703.5</v>
      </c>
      <c r="H63" s="103">
        <f>H64</f>
        <v>302664.3</v>
      </c>
      <c r="I63" s="21"/>
      <c r="J63" s="33"/>
      <c r="K63" s="33"/>
      <c r="L63" s="93"/>
      <c r="M63" s="34"/>
      <c r="Q63" s="103">
        <f>Q64</f>
        <v>675063.3</v>
      </c>
      <c r="R63" s="55">
        <f t="shared" si="1"/>
        <v>675063.3</v>
      </c>
    </row>
    <row r="64" spans="1:18" s="5" customFormat="1" ht="27.75" customHeight="1">
      <c r="A64" s="25"/>
      <c r="B64" s="29" t="s">
        <v>31</v>
      </c>
      <c r="C64" s="22" t="s">
        <v>17</v>
      </c>
      <c r="D64" s="103">
        <f aca="true" t="shared" si="5" ref="D64:M64">D65</f>
        <v>372399</v>
      </c>
      <c r="E64" s="103">
        <f t="shared" si="5"/>
        <v>675063.3</v>
      </c>
      <c r="F64" s="103">
        <f>F65</f>
        <v>690766.8</v>
      </c>
      <c r="G64" s="103">
        <f>G65</f>
        <v>15703.5</v>
      </c>
      <c r="H64" s="103">
        <f t="shared" si="5"/>
        <v>302664.3</v>
      </c>
      <c r="I64" s="103"/>
      <c r="J64" s="15">
        <f t="shared" si="5"/>
        <v>243447.94999999998</v>
      </c>
      <c r="K64" s="15">
        <f t="shared" si="5"/>
        <v>496785.5</v>
      </c>
      <c r="L64" s="103">
        <f t="shared" si="5"/>
        <v>520364.1</v>
      </c>
      <c r="M64" s="31">
        <f t="shared" si="5"/>
        <v>223730.19999999998</v>
      </c>
      <c r="Q64" s="103">
        <f>Q65</f>
        <v>675063.3</v>
      </c>
      <c r="R64" s="55">
        <f t="shared" si="1"/>
        <v>675063.3</v>
      </c>
    </row>
    <row r="65" spans="1:18" s="5" customFormat="1" ht="50.25" customHeight="1">
      <c r="A65" s="24"/>
      <c r="B65" s="29" t="s">
        <v>15</v>
      </c>
      <c r="C65" s="22" t="s">
        <v>17</v>
      </c>
      <c r="D65" s="103">
        <f>D89+D66</f>
        <v>372399</v>
      </c>
      <c r="E65" s="103">
        <f>E89+E66</f>
        <v>675063.3</v>
      </c>
      <c r="F65" s="103">
        <f>F89+F66</f>
        <v>690766.8</v>
      </c>
      <c r="G65" s="103">
        <f>G89+G66</f>
        <v>15703.5</v>
      </c>
      <c r="H65" s="103">
        <f>H89+H66</f>
        <v>302664.3</v>
      </c>
      <c r="I65" s="103"/>
      <c r="J65" s="15">
        <f>J89+J66</f>
        <v>243447.94999999998</v>
      </c>
      <c r="K65" s="15">
        <f>K89+K66</f>
        <v>496785.5</v>
      </c>
      <c r="L65" s="103">
        <f>L89+L66</f>
        <v>520364.1</v>
      </c>
      <c r="M65" s="31">
        <f>M89+M66</f>
        <v>223730.19999999998</v>
      </c>
      <c r="Q65" s="103">
        <f>Q89+Q66</f>
        <v>675063.3</v>
      </c>
      <c r="R65" s="55">
        <f t="shared" si="1"/>
        <v>675063.3</v>
      </c>
    </row>
    <row r="66" spans="1:18" s="5" customFormat="1" ht="36" customHeight="1">
      <c r="A66" s="24"/>
      <c r="B66" s="29" t="s">
        <v>130</v>
      </c>
      <c r="C66" s="22" t="s">
        <v>17</v>
      </c>
      <c r="D66" s="103">
        <f>D71+D79</f>
        <v>124839</v>
      </c>
      <c r="E66" s="103">
        <f>E71+E79</f>
        <v>177677.30000000002</v>
      </c>
      <c r="F66" s="103">
        <f>F71+F79</f>
        <v>177677.30000000002</v>
      </c>
      <c r="G66" s="103">
        <f>G71+G79</f>
        <v>0</v>
      </c>
      <c r="H66" s="103">
        <f>H71+H79</f>
        <v>52838.3</v>
      </c>
      <c r="I66" s="103"/>
      <c r="J66" s="15">
        <f>SUM(J67:J78)</f>
        <v>46885.829999999994</v>
      </c>
      <c r="K66" s="15">
        <f>SUM(K68:K78)</f>
        <v>48521.4</v>
      </c>
      <c r="L66" s="103">
        <f>SUM(L68:L78)</f>
        <v>150950.3</v>
      </c>
      <c r="M66" s="103">
        <f>SUM(M68:M78)</f>
        <v>26111.299999999996</v>
      </c>
      <c r="Q66" s="103">
        <f>Q71+Q79</f>
        <v>177677.30000000002</v>
      </c>
      <c r="R66" s="55">
        <f t="shared" si="1"/>
        <v>177677.3</v>
      </c>
    </row>
    <row r="67" spans="1:18" s="5" customFormat="1" ht="82.5" customHeight="1" hidden="1">
      <c r="A67" s="24" t="s">
        <v>25</v>
      </c>
      <c r="B67" s="27" t="s">
        <v>71</v>
      </c>
      <c r="C67" s="24" t="s">
        <v>17</v>
      </c>
      <c r="D67" s="36"/>
      <c r="E67" s="36"/>
      <c r="F67" s="36"/>
      <c r="G67" s="36"/>
      <c r="H67" s="36"/>
      <c r="I67" s="36"/>
      <c r="J67" s="33">
        <v>10000</v>
      </c>
      <c r="K67" s="37"/>
      <c r="L67" s="36"/>
      <c r="M67" s="36"/>
      <c r="Q67" s="36"/>
      <c r="R67" s="55">
        <f t="shared" si="1"/>
        <v>0</v>
      </c>
    </row>
    <row r="68" spans="1:18" s="5" customFormat="1" ht="49.5" customHeight="1" hidden="1">
      <c r="A68" s="32">
        <v>6</v>
      </c>
      <c r="B68" s="27" t="s">
        <v>122</v>
      </c>
      <c r="C68" s="24" t="s">
        <v>17</v>
      </c>
      <c r="D68" s="92"/>
      <c r="E68" s="92"/>
      <c r="F68" s="92"/>
      <c r="G68" s="92"/>
      <c r="H68" s="92"/>
      <c r="I68" s="92"/>
      <c r="J68" s="33"/>
      <c r="K68" s="33"/>
      <c r="L68" s="92"/>
      <c r="M68" s="35"/>
      <c r="Q68" s="92"/>
      <c r="R68" s="55">
        <f t="shared" si="1"/>
        <v>0</v>
      </c>
    </row>
    <row r="69" spans="1:18" s="5" customFormat="1" ht="49.5" customHeight="1" hidden="1">
      <c r="A69" s="32">
        <v>7</v>
      </c>
      <c r="B69" s="27" t="s">
        <v>123</v>
      </c>
      <c r="C69" s="24" t="s">
        <v>17</v>
      </c>
      <c r="D69" s="92"/>
      <c r="E69" s="92"/>
      <c r="F69" s="92"/>
      <c r="G69" s="92"/>
      <c r="H69" s="92"/>
      <c r="I69" s="93"/>
      <c r="J69" s="33"/>
      <c r="K69" s="33"/>
      <c r="L69" s="93"/>
      <c r="M69" s="34"/>
      <c r="Q69" s="92"/>
      <c r="R69" s="55">
        <f t="shared" si="1"/>
        <v>0</v>
      </c>
    </row>
    <row r="70" spans="1:18" s="5" customFormat="1" ht="69.75" customHeight="1">
      <c r="A70" s="32"/>
      <c r="B70" s="29" t="s">
        <v>166</v>
      </c>
      <c r="C70" s="22" t="s">
        <v>17</v>
      </c>
      <c r="D70" s="103">
        <f>D66</f>
        <v>124839</v>
      </c>
      <c r="E70" s="103">
        <f>E66</f>
        <v>177677.30000000002</v>
      </c>
      <c r="F70" s="103">
        <f>F66</f>
        <v>177677.30000000002</v>
      </c>
      <c r="G70" s="103">
        <f>G66</f>
        <v>0</v>
      </c>
      <c r="H70" s="103">
        <f>H66</f>
        <v>52838.3</v>
      </c>
      <c r="I70" s="93"/>
      <c r="J70" s="33"/>
      <c r="K70" s="33"/>
      <c r="L70" s="93"/>
      <c r="M70" s="34"/>
      <c r="Q70" s="103">
        <f>Q66</f>
        <v>177677.30000000002</v>
      </c>
      <c r="R70" s="55"/>
    </row>
    <row r="71" spans="1:18" s="5" customFormat="1" ht="115.5" customHeight="1">
      <c r="A71" s="32"/>
      <c r="B71" s="29" t="s">
        <v>136</v>
      </c>
      <c r="C71" s="22" t="s">
        <v>17</v>
      </c>
      <c r="D71" s="36">
        <f>SUM(D72:D78)</f>
        <v>124839</v>
      </c>
      <c r="E71" s="36">
        <f>SUM(E72:E78)</f>
        <v>167787.30000000002</v>
      </c>
      <c r="F71" s="36">
        <f>SUM(F72:F78)</f>
        <v>167787.30000000002</v>
      </c>
      <c r="G71" s="36">
        <f>SUM(G72:G78)</f>
        <v>0</v>
      </c>
      <c r="H71" s="36">
        <f>SUM(H72:H78)</f>
        <v>42948.3</v>
      </c>
      <c r="I71" s="93"/>
      <c r="J71" s="33"/>
      <c r="K71" s="33"/>
      <c r="L71" s="93"/>
      <c r="M71" s="34"/>
      <c r="Q71" s="36">
        <f>SUM(Q72:Q78)</f>
        <v>167787.30000000002</v>
      </c>
      <c r="R71" s="55">
        <f aca="true" t="shared" si="6" ref="R71:R89">H71+D71</f>
        <v>167787.3</v>
      </c>
    </row>
    <row r="72" spans="1:18" s="5" customFormat="1" ht="80.25" customHeight="1">
      <c r="A72" s="32">
        <v>13</v>
      </c>
      <c r="B72" s="27" t="s">
        <v>165</v>
      </c>
      <c r="C72" s="24" t="s">
        <v>17</v>
      </c>
      <c r="D72" s="92">
        <v>24353</v>
      </c>
      <c r="E72" s="102">
        <f aca="true" t="shared" si="7" ref="E72:E78">D72+H72</f>
        <v>23289.5</v>
      </c>
      <c r="F72" s="92">
        <v>23289.5</v>
      </c>
      <c r="G72" s="102">
        <f aca="true" t="shared" si="8" ref="G72:G78">F72-E72</f>
        <v>0</v>
      </c>
      <c r="H72" s="92">
        <v>-1063.5</v>
      </c>
      <c r="I72" s="81" t="s">
        <v>100</v>
      </c>
      <c r="J72" s="33"/>
      <c r="K72" s="33"/>
      <c r="L72" s="92">
        <v>30843</v>
      </c>
      <c r="M72" s="35">
        <f aca="true" t="shared" si="9" ref="M72:M78">L72-D72</f>
        <v>6490</v>
      </c>
      <c r="N72" s="38"/>
      <c r="O72" s="38"/>
      <c r="Q72" s="92">
        <v>23289.5</v>
      </c>
      <c r="R72" s="55">
        <f t="shared" si="6"/>
        <v>23289.5</v>
      </c>
    </row>
    <row r="73" spans="1:19" s="5" customFormat="1" ht="52.5" customHeight="1">
      <c r="A73" s="32">
        <v>14</v>
      </c>
      <c r="B73" s="27" t="s">
        <v>72</v>
      </c>
      <c r="C73" s="24" t="s">
        <v>17</v>
      </c>
      <c r="D73" s="92">
        <v>28058.4</v>
      </c>
      <c r="E73" s="102">
        <f t="shared" si="7"/>
        <v>41700</v>
      </c>
      <c r="F73" s="93">
        <v>41700</v>
      </c>
      <c r="G73" s="102">
        <f t="shared" si="8"/>
        <v>0</v>
      </c>
      <c r="H73" s="92">
        <f>-242+13883.6</f>
        <v>13641.6</v>
      </c>
      <c r="I73" s="81" t="s">
        <v>19</v>
      </c>
      <c r="J73" s="33">
        <v>7583.1</v>
      </c>
      <c r="K73" s="33">
        <v>10097.6</v>
      </c>
      <c r="L73" s="92">
        <v>29623.8</v>
      </c>
      <c r="M73" s="35">
        <f t="shared" si="9"/>
        <v>1565.3999999999978</v>
      </c>
      <c r="N73" s="38"/>
      <c r="O73" s="38"/>
      <c r="Q73" s="92">
        <v>41700</v>
      </c>
      <c r="R73" s="55">
        <f t="shared" si="6"/>
        <v>41700</v>
      </c>
      <c r="S73" s="38">
        <f>SUM(Q73:Q78)</f>
        <v>144497.80000000002</v>
      </c>
    </row>
    <row r="74" spans="1:18" s="5" customFormat="1" ht="52.5" customHeight="1">
      <c r="A74" s="32">
        <v>15</v>
      </c>
      <c r="B74" s="27" t="s">
        <v>73</v>
      </c>
      <c r="C74" s="24" t="s">
        <v>17</v>
      </c>
      <c r="D74" s="92">
        <v>27023.1</v>
      </c>
      <c r="E74" s="102">
        <f t="shared" si="7"/>
        <v>32400.5</v>
      </c>
      <c r="F74" s="92">
        <v>32400.5</v>
      </c>
      <c r="G74" s="102">
        <f t="shared" si="8"/>
        <v>0</v>
      </c>
      <c r="H74" s="92">
        <f>-1206.6+6584</f>
        <v>5377.4</v>
      </c>
      <c r="I74" s="81" t="s">
        <v>19</v>
      </c>
      <c r="J74" s="33">
        <v>7399.69</v>
      </c>
      <c r="K74" s="33">
        <v>9878.7</v>
      </c>
      <c r="L74" s="92">
        <v>27494</v>
      </c>
      <c r="M74" s="35">
        <f t="shared" si="9"/>
        <v>470.90000000000146</v>
      </c>
      <c r="N74" s="38"/>
      <c r="Q74" s="92">
        <v>32400.5</v>
      </c>
      <c r="R74" s="55">
        <f t="shared" si="6"/>
        <v>32400.5</v>
      </c>
    </row>
    <row r="75" spans="1:18" s="5" customFormat="1" ht="52.5" customHeight="1">
      <c r="A75" s="32">
        <v>16</v>
      </c>
      <c r="B75" s="27" t="s">
        <v>74</v>
      </c>
      <c r="C75" s="24" t="s">
        <v>17</v>
      </c>
      <c r="D75" s="92">
        <v>7730.6</v>
      </c>
      <c r="E75" s="102">
        <f t="shared" si="7"/>
        <v>8636.1</v>
      </c>
      <c r="F75" s="92">
        <v>8636.1</v>
      </c>
      <c r="G75" s="102">
        <f t="shared" si="8"/>
        <v>0</v>
      </c>
      <c r="H75" s="92">
        <f>-1524.5+2430</f>
        <v>905.5</v>
      </c>
      <c r="I75" s="81" t="s">
        <v>19</v>
      </c>
      <c r="J75" s="33">
        <v>4897.69</v>
      </c>
      <c r="K75" s="33">
        <v>6262.5</v>
      </c>
      <c r="L75" s="92">
        <v>1357.4</v>
      </c>
      <c r="M75" s="35">
        <f t="shared" si="9"/>
        <v>-6373.200000000001</v>
      </c>
      <c r="N75" s="38"/>
      <c r="Q75" s="92">
        <v>8636.1</v>
      </c>
      <c r="R75" s="55">
        <f t="shared" si="6"/>
        <v>8636.1</v>
      </c>
    </row>
    <row r="76" spans="1:18" s="5" customFormat="1" ht="52.5" customHeight="1">
      <c r="A76" s="32">
        <v>17</v>
      </c>
      <c r="B76" s="27" t="s">
        <v>102</v>
      </c>
      <c r="C76" s="24" t="s">
        <v>17</v>
      </c>
      <c r="D76" s="92">
        <v>6032.7</v>
      </c>
      <c r="E76" s="102">
        <f t="shared" si="7"/>
        <v>12815.099999999999</v>
      </c>
      <c r="F76" s="92">
        <v>12815.1</v>
      </c>
      <c r="G76" s="102">
        <f t="shared" si="8"/>
        <v>0</v>
      </c>
      <c r="H76" s="92">
        <v>6782.4</v>
      </c>
      <c r="I76" s="81" t="s">
        <v>19</v>
      </c>
      <c r="J76" s="33">
        <v>4031.83</v>
      </c>
      <c r="K76" s="33">
        <v>5184.5</v>
      </c>
      <c r="L76" s="92">
        <v>11799.8</v>
      </c>
      <c r="M76" s="35">
        <f t="shared" si="9"/>
        <v>5767.099999999999</v>
      </c>
      <c r="N76" s="38"/>
      <c r="Q76" s="92">
        <v>12815.1</v>
      </c>
      <c r="R76" s="55">
        <f t="shared" si="6"/>
        <v>12815.099999999999</v>
      </c>
    </row>
    <row r="77" spans="1:18" s="5" customFormat="1" ht="52.5" customHeight="1">
      <c r="A77" s="32">
        <v>18</v>
      </c>
      <c r="B77" s="27" t="s">
        <v>103</v>
      </c>
      <c r="C77" s="24" t="s">
        <v>17</v>
      </c>
      <c r="D77" s="92">
        <v>4168.2</v>
      </c>
      <c r="E77" s="102">
        <f t="shared" si="7"/>
        <v>10895.2</v>
      </c>
      <c r="F77" s="92">
        <v>10895.2</v>
      </c>
      <c r="G77" s="102">
        <f t="shared" si="8"/>
        <v>0</v>
      </c>
      <c r="H77" s="92">
        <f>6099.3+627.7</f>
        <v>6727</v>
      </c>
      <c r="I77" s="81" t="s">
        <v>19</v>
      </c>
      <c r="J77" s="33">
        <v>3817.71</v>
      </c>
      <c r="K77" s="33">
        <v>4935.6</v>
      </c>
      <c r="L77" s="92">
        <v>10934.6</v>
      </c>
      <c r="M77" s="35">
        <f t="shared" si="9"/>
        <v>6766.400000000001</v>
      </c>
      <c r="Q77" s="92">
        <v>10895.2</v>
      </c>
      <c r="R77" s="55">
        <f t="shared" si="6"/>
        <v>10895.2</v>
      </c>
    </row>
    <row r="78" spans="1:18" s="5" customFormat="1" ht="52.5" customHeight="1">
      <c r="A78" s="32">
        <v>19</v>
      </c>
      <c r="B78" s="27" t="s">
        <v>75</v>
      </c>
      <c r="C78" s="24" t="s">
        <v>17</v>
      </c>
      <c r="D78" s="92">
        <v>27473</v>
      </c>
      <c r="E78" s="102">
        <f t="shared" si="7"/>
        <v>38050.9</v>
      </c>
      <c r="F78" s="92">
        <v>38050.9</v>
      </c>
      <c r="G78" s="102">
        <f t="shared" si="8"/>
        <v>0</v>
      </c>
      <c r="H78" s="92">
        <f>9051.5+1526.4</f>
        <v>10577.9</v>
      </c>
      <c r="I78" s="81" t="s">
        <v>19</v>
      </c>
      <c r="J78" s="33">
        <v>9155.81</v>
      </c>
      <c r="K78" s="33">
        <v>12162.5</v>
      </c>
      <c r="L78" s="92">
        <v>38897.7</v>
      </c>
      <c r="M78" s="35">
        <f t="shared" si="9"/>
        <v>11424.699999999997</v>
      </c>
      <c r="Q78" s="92">
        <v>38050.9</v>
      </c>
      <c r="R78" s="55">
        <f t="shared" si="6"/>
        <v>38050.9</v>
      </c>
    </row>
    <row r="79" spans="1:18" s="5" customFormat="1" ht="105" customHeight="1">
      <c r="A79" s="32"/>
      <c r="B79" s="29" t="s">
        <v>137</v>
      </c>
      <c r="C79" s="22" t="s">
        <v>17</v>
      </c>
      <c r="D79" s="103">
        <f>SUM(D80:D88)</f>
        <v>0</v>
      </c>
      <c r="E79" s="103">
        <f>SUM(E80:E88)</f>
        <v>9890</v>
      </c>
      <c r="F79" s="26">
        <f>SUM(F80:F88)</f>
        <v>9890</v>
      </c>
      <c r="G79" s="103">
        <f>SUM(G80:G88)</f>
        <v>0</v>
      </c>
      <c r="H79" s="103">
        <f>SUM(H80:H88)</f>
        <v>9890</v>
      </c>
      <c r="I79" s="81"/>
      <c r="J79" s="33"/>
      <c r="K79" s="33"/>
      <c r="L79" s="92"/>
      <c r="M79" s="35"/>
      <c r="Q79" s="103">
        <f>SUM(Q80:Q88)</f>
        <v>9890</v>
      </c>
      <c r="R79" s="55">
        <f t="shared" si="6"/>
        <v>9890</v>
      </c>
    </row>
    <row r="80" spans="1:18" s="5" customFormat="1" ht="104.25" customHeight="1">
      <c r="A80" s="32">
        <v>20</v>
      </c>
      <c r="B80" s="27" t="s">
        <v>167</v>
      </c>
      <c r="C80" s="24" t="s">
        <v>17</v>
      </c>
      <c r="D80" s="92"/>
      <c r="E80" s="102">
        <f aca="true" t="shared" si="10" ref="E80:E88">D80+H80</f>
        <v>929.3</v>
      </c>
      <c r="F80" s="92">
        <v>929.3</v>
      </c>
      <c r="G80" s="102">
        <f aca="true" t="shared" si="11" ref="G80:G88">F80-E80</f>
        <v>0</v>
      </c>
      <c r="H80" s="92">
        <v>929.3</v>
      </c>
      <c r="I80" s="81" t="s">
        <v>19</v>
      </c>
      <c r="J80" s="33"/>
      <c r="K80" s="33"/>
      <c r="L80" s="92"/>
      <c r="M80" s="35"/>
      <c r="Q80" s="92">
        <v>929.3</v>
      </c>
      <c r="R80" s="55">
        <f t="shared" si="6"/>
        <v>929.3</v>
      </c>
    </row>
    <row r="81" spans="1:18" s="5" customFormat="1" ht="76.5" customHeight="1">
      <c r="A81" s="32">
        <v>21</v>
      </c>
      <c r="B81" s="27" t="s">
        <v>138</v>
      </c>
      <c r="C81" s="24" t="s">
        <v>17</v>
      </c>
      <c r="D81" s="92"/>
      <c r="E81" s="102">
        <f t="shared" si="10"/>
        <v>1440.4</v>
      </c>
      <c r="F81" s="92">
        <v>1440.4</v>
      </c>
      <c r="G81" s="102">
        <f t="shared" si="11"/>
        <v>0</v>
      </c>
      <c r="H81" s="92">
        <v>1440.4</v>
      </c>
      <c r="I81" s="81" t="s">
        <v>19</v>
      </c>
      <c r="J81" s="33"/>
      <c r="K81" s="33"/>
      <c r="L81" s="92"/>
      <c r="M81" s="35"/>
      <c r="Q81" s="92">
        <v>1440.4</v>
      </c>
      <c r="R81" s="55">
        <f t="shared" si="6"/>
        <v>1440.4</v>
      </c>
    </row>
    <row r="82" spans="1:18" s="5" customFormat="1" ht="90.75" customHeight="1">
      <c r="A82" s="32">
        <v>22</v>
      </c>
      <c r="B82" s="27" t="s">
        <v>139</v>
      </c>
      <c r="C82" s="24" t="s">
        <v>17</v>
      </c>
      <c r="D82" s="92"/>
      <c r="E82" s="102">
        <f t="shared" si="10"/>
        <v>1261.1</v>
      </c>
      <c r="F82" s="92">
        <v>1261.1</v>
      </c>
      <c r="G82" s="102">
        <f t="shared" si="11"/>
        <v>0</v>
      </c>
      <c r="H82" s="92">
        <v>1261.1</v>
      </c>
      <c r="I82" s="81" t="s">
        <v>19</v>
      </c>
      <c r="J82" s="33"/>
      <c r="K82" s="33"/>
      <c r="L82" s="92"/>
      <c r="M82" s="35"/>
      <c r="Q82" s="92">
        <v>1261.1</v>
      </c>
      <c r="R82" s="55">
        <f t="shared" si="6"/>
        <v>1261.1</v>
      </c>
    </row>
    <row r="83" spans="1:18" s="5" customFormat="1" ht="85.5" customHeight="1">
      <c r="A83" s="32">
        <v>23</v>
      </c>
      <c r="B83" s="27" t="s">
        <v>140</v>
      </c>
      <c r="C83" s="24" t="s">
        <v>17</v>
      </c>
      <c r="D83" s="92"/>
      <c r="E83" s="102">
        <f t="shared" si="10"/>
        <v>1440.4</v>
      </c>
      <c r="F83" s="92">
        <v>1440.4</v>
      </c>
      <c r="G83" s="102">
        <f t="shared" si="11"/>
        <v>0</v>
      </c>
      <c r="H83" s="92">
        <v>1440.4</v>
      </c>
      <c r="I83" s="81" t="s">
        <v>19</v>
      </c>
      <c r="J83" s="33"/>
      <c r="K83" s="33"/>
      <c r="L83" s="92"/>
      <c r="M83" s="35"/>
      <c r="Q83" s="92">
        <v>1440.4</v>
      </c>
      <c r="R83" s="55">
        <f t="shared" si="6"/>
        <v>1440.4</v>
      </c>
    </row>
    <row r="84" spans="1:18" s="5" customFormat="1" ht="81.75" customHeight="1">
      <c r="A84" s="32">
        <v>24</v>
      </c>
      <c r="B84" s="27" t="s">
        <v>168</v>
      </c>
      <c r="C84" s="24" t="s">
        <v>17</v>
      </c>
      <c r="D84" s="92"/>
      <c r="E84" s="102">
        <f t="shared" si="10"/>
        <v>929.3</v>
      </c>
      <c r="F84" s="92">
        <v>929.3</v>
      </c>
      <c r="G84" s="102">
        <f t="shared" si="11"/>
        <v>0</v>
      </c>
      <c r="H84" s="92">
        <v>929.3</v>
      </c>
      <c r="I84" s="81" t="s">
        <v>19</v>
      </c>
      <c r="J84" s="33"/>
      <c r="K84" s="33"/>
      <c r="L84" s="92"/>
      <c r="M84" s="35"/>
      <c r="Q84" s="92">
        <v>929.3</v>
      </c>
      <c r="R84" s="55">
        <f t="shared" si="6"/>
        <v>929.3</v>
      </c>
    </row>
    <row r="85" spans="1:18" s="5" customFormat="1" ht="92.25" customHeight="1">
      <c r="A85" s="32">
        <v>25</v>
      </c>
      <c r="B85" s="27" t="s">
        <v>141</v>
      </c>
      <c r="C85" s="24" t="s">
        <v>17</v>
      </c>
      <c r="D85" s="92"/>
      <c r="E85" s="102">
        <f t="shared" si="10"/>
        <v>1128.4</v>
      </c>
      <c r="F85" s="92">
        <v>1128.4</v>
      </c>
      <c r="G85" s="102">
        <f t="shared" si="11"/>
        <v>0</v>
      </c>
      <c r="H85" s="92">
        <v>1128.4</v>
      </c>
      <c r="I85" s="81" t="s">
        <v>19</v>
      </c>
      <c r="J85" s="33"/>
      <c r="K85" s="33"/>
      <c r="L85" s="92"/>
      <c r="M85" s="35"/>
      <c r="Q85" s="92">
        <v>1128.4</v>
      </c>
      <c r="R85" s="55">
        <f t="shared" si="6"/>
        <v>1128.4</v>
      </c>
    </row>
    <row r="86" spans="1:18" s="5" customFormat="1" ht="85.5" customHeight="1">
      <c r="A86" s="32">
        <v>26</v>
      </c>
      <c r="B86" s="27" t="s">
        <v>142</v>
      </c>
      <c r="C86" s="24" t="s">
        <v>17</v>
      </c>
      <c r="D86" s="92"/>
      <c r="E86" s="102">
        <f t="shared" si="10"/>
        <v>929.3</v>
      </c>
      <c r="F86" s="92">
        <v>929.3</v>
      </c>
      <c r="G86" s="102">
        <f t="shared" si="11"/>
        <v>0</v>
      </c>
      <c r="H86" s="92">
        <v>929.3</v>
      </c>
      <c r="I86" s="81" t="s">
        <v>19</v>
      </c>
      <c r="J86" s="33"/>
      <c r="K86" s="33"/>
      <c r="L86" s="92"/>
      <c r="M86" s="35"/>
      <c r="Q86" s="92">
        <v>929.3</v>
      </c>
      <c r="R86" s="55">
        <f t="shared" si="6"/>
        <v>929.3</v>
      </c>
    </row>
    <row r="87" spans="1:18" s="5" customFormat="1" ht="69.75" customHeight="1">
      <c r="A87" s="32">
        <v>27</v>
      </c>
      <c r="B87" s="27" t="s">
        <v>143</v>
      </c>
      <c r="C87" s="24" t="s">
        <v>17</v>
      </c>
      <c r="D87" s="92"/>
      <c r="E87" s="102">
        <f t="shared" si="10"/>
        <v>1128.4</v>
      </c>
      <c r="F87" s="92">
        <v>1128.4</v>
      </c>
      <c r="G87" s="102">
        <f t="shared" si="11"/>
        <v>0</v>
      </c>
      <c r="H87" s="92">
        <v>1128.4</v>
      </c>
      <c r="I87" s="81" t="s">
        <v>19</v>
      </c>
      <c r="J87" s="33"/>
      <c r="K87" s="33"/>
      <c r="L87" s="92"/>
      <c r="M87" s="35"/>
      <c r="Q87" s="92">
        <v>1128.4</v>
      </c>
      <c r="R87" s="55">
        <f t="shared" si="6"/>
        <v>1128.4</v>
      </c>
    </row>
    <row r="88" spans="1:18" s="5" customFormat="1" ht="52.5" customHeight="1">
      <c r="A88" s="32">
        <v>28</v>
      </c>
      <c r="B88" s="27" t="s">
        <v>144</v>
      </c>
      <c r="C88" s="24" t="s">
        <v>17</v>
      </c>
      <c r="D88" s="92"/>
      <c r="E88" s="102">
        <f t="shared" si="10"/>
        <v>703.4</v>
      </c>
      <c r="F88" s="92">
        <v>703.4</v>
      </c>
      <c r="G88" s="102">
        <f t="shared" si="11"/>
        <v>0</v>
      </c>
      <c r="H88" s="92">
        <v>703.4</v>
      </c>
      <c r="I88" s="81" t="s">
        <v>19</v>
      </c>
      <c r="J88" s="33"/>
      <c r="K88" s="33"/>
      <c r="L88" s="92"/>
      <c r="M88" s="35"/>
      <c r="Q88" s="92">
        <v>703.4</v>
      </c>
      <c r="R88" s="55">
        <f t="shared" si="6"/>
        <v>703.4</v>
      </c>
    </row>
    <row r="89" spans="1:19" s="5" customFormat="1" ht="39.75" customHeight="1">
      <c r="A89" s="24"/>
      <c r="B89" s="29" t="s">
        <v>16</v>
      </c>
      <c r="C89" s="22" t="s">
        <v>17</v>
      </c>
      <c r="D89" s="103">
        <f>D92+D93+D94+D90+D91</f>
        <v>247560.00000000003</v>
      </c>
      <c r="E89" s="103">
        <f>E92+E93+E94+E90+E91</f>
        <v>497386</v>
      </c>
      <c r="F89" s="103">
        <f>F92+F93+F94+F90+F91</f>
        <v>513089.5</v>
      </c>
      <c r="G89" s="103">
        <f>G92+G93+G94+G90+G91</f>
        <v>15703.5</v>
      </c>
      <c r="H89" s="103">
        <f>H92+H93+H94+H90+H91</f>
        <v>249825.99999999997</v>
      </c>
      <c r="I89" s="103"/>
      <c r="J89" s="15">
        <f>SUM(J95:J98)</f>
        <v>196562.12</v>
      </c>
      <c r="K89" s="15">
        <f>SUM(K95:K98)</f>
        <v>448264.1</v>
      </c>
      <c r="L89" s="103">
        <f>SUM(L95:L98)</f>
        <v>369413.8</v>
      </c>
      <c r="M89" s="103">
        <f>SUM(M95:M98)</f>
        <v>197618.9</v>
      </c>
      <c r="O89" s="38"/>
      <c r="Q89" s="103">
        <f>Q92+Q93+Q94+Q90+Q91</f>
        <v>497386</v>
      </c>
      <c r="R89" s="55">
        <f t="shared" si="6"/>
        <v>497386</v>
      </c>
      <c r="S89" s="55">
        <f>I89+E89</f>
        <v>497386</v>
      </c>
    </row>
    <row r="90" spans="1:18" s="5" customFormat="1" ht="49.5" customHeight="1">
      <c r="A90" s="32">
        <v>29</v>
      </c>
      <c r="B90" s="89" t="s">
        <v>157</v>
      </c>
      <c r="C90" s="24" t="s">
        <v>17</v>
      </c>
      <c r="D90" s="92"/>
      <c r="E90" s="102">
        <f>D90+H90</f>
        <v>4000</v>
      </c>
      <c r="F90" s="21">
        <v>4000</v>
      </c>
      <c r="G90" s="102">
        <f>F90-E90</f>
        <v>0</v>
      </c>
      <c r="H90" s="102">
        <v>4000</v>
      </c>
      <c r="I90" s="81" t="s">
        <v>19</v>
      </c>
      <c r="J90" s="33"/>
      <c r="K90" s="33"/>
      <c r="L90" s="93"/>
      <c r="M90" s="34"/>
      <c r="Q90" s="102">
        <v>4000</v>
      </c>
      <c r="R90" s="55"/>
    </row>
    <row r="91" spans="1:18" s="5" customFormat="1" ht="49.5" customHeight="1">
      <c r="A91" s="32">
        <v>30</v>
      </c>
      <c r="B91" s="89" t="s">
        <v>158</v>
      </c>
      <c r="C91" s="24" t="s">
        <v>17</v>
      </c>
      <c r="D91" s="92"/>
      <c r="E91" s="102">
        <f>D91+H91</f>
        <v>3800</v>
      </c>
      <c r="F91" s="21">
        <v>3800</v>
      </c>
      <c r="G91" s="102">
        <f>F91-E91</f>
        <v>0</v>
      </c>
      <c r="H91" s="102">
        <v>3800</v>
      </c>
      <c r="I91" s="81" t="s">
        <v>19</v>
      </c>
      <c r="J91" s="33"/>
      <c r="K91" s="33"/>
      <c r="L91" s="93"/>
      <c r="M91" s="34"/>
      <c r="Q91" s="102">
        <v>3800</v>
      </c>
      <c r="R91" s="55"/>
    </row>
    <row r="92" spans="1:18" s="5" customFormat="1" ht="55.5" customHeight="1">
      <c r="A92" s="77" t="s">
        <v>95</v>
      </c>
      <c r="B92" s="27" t="s">
        <v>164</v>
      </c>
      <c r="C92" s="24" t="s">
        <v>17</v>
      </c>
      <c r="D92" s="102">
        <v>25470.1</v>
      </c>
      <c r="E92" s="102">
        <f>D92+H92</f>
        <v>53390.899999999994</v>
      </c>
      <c r="F92" s="102">
        <v>53390.9</v>
      </c>
      <c r="G92" s="102">
        <f>F92-E92</f>
        <v>0</v>
      </c>
      <c r="H92" s="102">
        <f>23809.6+4111.2</f>
        <v>27920.8</v>
      </c>
      <c r="I92" s="81" t="s">
        <v>19</v>
      </c>
      <c r="J92" s="20">
        <v>45320.05</v>
      </c>
      <c r="K92" s="20">
        <v>43538</v>
      </c>
      <c r="L92" s="102">
        <v>55111</v>
      </c>
      <c r="M92" s="35">
        <f>L92-D92</f>
        <v>29640.9</v>
      </c>
      <c r="P92" s="38"/>
      <c r="Q92" s="102">
        <v>53390.9</v>
      </c>
      <c r="R92" s="55">
        <f aca="true" t="shared" si="12" ref="R92:R102">H92+D92</f>
        <v>53390.899999999994</v>
      </c>
    </row>
    <row r="93" spans="1:18" s="5" customFormat="1" ht="55.5" customHeight="1">
      <c r="A93" s="77" t="s">
        <v>96</v>
      </c>
      <c r="B93" s="27" t="s">
        <v>163</v>
      </c>
      <c r="C93" s="24" t="s">
        <v>17</v>
      </c>
      <c r="D93" s="102">
        <v>50295</v>
      </c>
      <c r="E93" s="102">
        <f>D93+H93</f>
        <v>45806.1</v>
      </c>
      <c r="F93" s="102">
        <v>45806.1</v>
      </c>
      <c r="G93" s="102">
        <f>F93-E93</f>
        <v>0</v>
      </c>
      <c r="H93" s="102">
        <f>-6003.1+1514.2</f>
        <v>-4488.900000000001</v>
      </c>
      <c r="I93" s="81" t="s">
        <v>19</v>
      </c>
      <c r="J93" s="20">
        <v>48830.96</v>
      </c>
      <c r="K93" s="20">
        <v>47711.2</v>
      </c>
      <c r="L93" s="102">
        <v>47169.8</v>
      </c>
      <c r="M93" s="35">
        <f>L93-D93</f>
        <v>-3125.199999999997</v>
      </c>
      <c r="Q93" s="102">
        <v>45806.1</v>
      </c>
      <c r="R93" s="55">
        <f t="shared" si="12"/>
        <v>45806.1</v>
      </c>
    </row>
    <row r="94" spans="1:18" s="5" customFormat="1" ht="29.25" customHeight="1">
      <c r="A94" s="77"/>
      <c r="B94" s="29" t="s">
        <v>145</v>
      </c>
      <c r="C94" s="22" t="s">
        <v>17</v>
      </c>
      <c r="D94" s="103">
        <f>D95+D96+D97+D98</f>
        <v>171794.90000000002</v>
      </c>
      <c r="E94" s="103">
        <f>E95+E96+E97+E98</f>
        <v>390389</v>
      </c>
      <c r="F94" s="103">
        <f>F95+F96+F97+F98</f>
        <v>406092.5</v>
      </c>
      <c r="G94" s="103">
        <f>G95+G96+G97+G98</f>
        <v>15703.5</v>
      </c>
      <c r="H94" s="103">
        <f>H95+H96+H97+H98</f>
        <v>218594.09999999998</v>
      </c>
      <c r="I94" s="81"/>
      <c r="J94" s="20"/>
      <c r="K94" s="20"/>
      <c r="L94" s="102"/>
      <c r="M94" s="35"/>
      <c r="Q94" s="103">
        <f>Q95+Q96+Q97+Q98</f>
        <v>390389</v>
      </c>
      <c r="R94" s="55">
        <f t="shared" si="12"/>
        <v>390389</v>
      </c>
    </row>
    <row r="95" spans="1:18" s="5" customFormat="1" ht="70.5" customHeight="1">
      <c r="A95" s="77" t="s">
        <v>97</v>
      </c>
      <c r="B95" s="27" t="s">
        <v>131</v>
      </c>
      <c r="C95" s="24" t="s">
        <v>17</v>
      </c>
      <c r="D95" s="102">
        <v>31808.6</v>
      </c>
      <c r="E95" s="102">
        <f>D95+H95</f>
        <v>58278.899999999994</v>
      </c>
      <c r="F95" s="102">
        <v>58278.9</v>
      </c>
      <c r="G95" s="102">
        <f>F95-E95</f>
        <v>0</v>
      </c>
      <c r="H95" s="102">
        <f>24619.8+1850.5</f>
        <v>26470.3</v>
      </c>
      <c r="I95" s="81" t="s">
        <v>19</v>
      </c>
      <c r="J95" s="20">
        <v>112558.8</v>
      </c>
      <c r="K95" s="20">
        <v>87816.3</v>
      </c>
      <c r="L95" s="102">
        <v>60095</v>
      </c>
      <c r="M95" s="35">
        <f>L95-D95</f>
        <v>28286.4</v>
      </c>
      <c r="Q95" s="102">
        <v>58278.9</v>
      </c>
      <c r="R95" s="55">
        <f t="shared" si="12"/>
        <v>58278.899999999994</v>
      </c>
    </row>
    <row r="96" spans="1:18" s="5" customFormat="1" ht="55.5" customHeight="1">
      <c r="A96" s="77" t="s">
        <v>98</v>
      </c>
      <c r="B96" s="94" t="s">
        <v>35</v>
      </c>
      <c r="C96" s="24" t="s">
        <v>17</v>
      </c>
      <c r="D96" s="102">
        <v>41035.6</v>
      </c>
      <c r="E96" s="102">
        <f>D96+H96</f>
        <v>113171.29999999999</v>
      </c>
      <c r="F96" s="102">
        <v>113171.3</v>
      </c>
      <c r="G96" s="102">
        <f>F96-E96</f>
        <v>0</v>
      </c>
      <c r="H96" s="102">
        <f>61865.2+10270.5</f>
        <v>72135.7</v>
      </c>
      <c r="I96" s="81" t="s">
        <v>19</v>
      </c>
      <c r="J96" s="20">
        <v>27150.04</v>
      </c>
      <c r="K96" s="20">
        <v>118773.2</v>
      </c>
      <c r="L96" s="102">
        <v>109587</v>
      </c>
      <c r="M96" s="35">
        <f>L96-D96</f>
        <v>68551.4</v>
      </c>
      <c r="Q96" s="102">
        <v>113171.3</v>
      </c>
      <c r="R96" s="55">
        <f t="shared" si="12"/>
        <v>113171.29999999999</v>
      </c>
    </row>
    <row r="97" spans="1:18" s="5" customFormat="1" ht="55.5" customHeight="1">
      <c r="A97" s="77" t="s">
        <v>151</v>
      </c>
      <c r="B97" s="94" t="s">
        <v>36</v>
      </c>
      <c r="C97" s="24" t="s">
        <v>17</v>
      </c>
      <c r="D97" s="102">
        <v>34064.4</v>
      </c>
      <c r="E97" s="102">
        <f>D97+H97</f>
        <v>83647.7</v>
      </c>
      <c r="F97" s="102">
        <v>83647.7</v>
      </c>
      <c r="G97" s="102">
        <f>F97-E97</f>
        <v>0</v>
      </c>
      <c r="H97" s="102">
        <f>35058.2+14525.1</f>
        <v>49583.299999999996</v>
      </c>
      <c r="I97" s="81" t="s">
        <v>19</v>
      </c>
      <c r="J97" s="20">
        <v>26525.88</v>
      </c>
      <c r="K97" s="20">
        <v>107672.2</v>
      </c>
      <c r="L97" s="102">
        <v>73614</v>
      </c>
      <c r="M97" s="35">
        <f>L97-D97</f>
        <v>39549.6</v>
      </c>
      <c r="Q97" s="102">
        <v>83647.7</v>
      </c>
      <c r="R97" s="55">
        <f t="shared" si="12"/>
        <v>83647.7</v>
      </c>
    </row>
    <row r="98" spans="1:18" s="5" customFormat="1" ht="55.5" customHeight="1">
      <c r="A98" s="77" t="s">
        <v>160</v>
      </c>
      <c r="B98" s="27" t="s">
        <v>37</v>
      </c>
      <c r="C98" s="24" t="s">
        <v>17</v>
      </c>
      <c r="D98" s="102">
        <v>64886.3</v>
      </c>
      <c r="E98" s="102">
        <f>D98+H98</f>
        <v>135291.1</v>
      </c>
      <c r="F98" s="102">
        <f>135291.1+15703.5</f>
        <v>150994.6</v>
      </c>
      <c r="G98" s="102">
        <f>F98-E98</f>
        <v>15703.5</v>
      </c>
      <c r="H98" s="102">
        <f>53536.8+16868</f>
        <v>70404.8</v>
      </c>
      <c r="I98" s="81" t="s">
        <v>19</v>
      </c>
      <c r="J98" s="20">
        <v>30327.4</v>
      </c>
      <c r="K98" s="20">
        <v>134002.4</v>
      </c>
      <c r="L98" s="102">
        <v>126117.8</v>
      </c>
      <c r="M98" s="35">
        <f>L98-D98</f>
        <v>61231.5</v>
      </c>
      <c r="Q98" s="102">
        <v>135291.1</v>
      </c>
      <c r="R98" s="55">
        <f t="shared" si="12"/>
        <v>135291.1</v>
      </c>
    </row>
    <row r="99" spans="1:18" s="5" customFormat="1" ht="24" customHeight="1">
      <c r="A99" s="22" t="s">
        <v>88</v>
      </c>
      <c r="B99" s="25" t="s">
        <v>80</v>
      </c>
      <c r="C99" s="22" t="s">
        <v>79</v>
      </c>
      <c r="D99" s="103">
        <f aca="true" t="shared" si="13" ref="D99:L99">D100</f>
        <v>0</v>
      </c>
      <c r="E99" s="103">
        <f t="shared" si="13"/>
        <v>3700</v>
      </c>
      <c r="F99" s="103">
        <f>F100</f>
        <v>9559.7</v>
      </c>
      <c r="G99" s="103">
        <f>G100</f>
        <v>5859.7</v>
      </c>
      <c r="H99" s="103">
        <f t="shared" si="13"/>
        <v>3700</v>
      </c>
      <c r="I99" s="103"/>
      <c r="J99" s="15">
        <f t="shared" si="13"/>
        <v>0</v>
      </c>
      <c r="K99" s="15">
        <f t="shared" si="13"/>
        <v>0</v>
      </c>
      <c r="L99" s="103">
        <f t="shared" si="13"/>
        <v>0</v>
      </c>
      <c r="M99" s="103"/>
      <c r="Q99" s="103">
        <f>Q100</f>
        <v>9190</v>
      </c>
      <c r="R99" s="55">
        <f t="shared" si="12"/>
        <v>3700</v>
      </c>
    </row>
    <row r="100" spans="1:18" s="5" customFormat="1" ht="49.5">
      <c r="A100" s="77"/>
      <c r="B100" s="29" t="s">
        <v>78</v>
      </c>
      <c r="C100" s="22" t="s">
        <v>79</v>
      </c>
      <c r="D100" s="103">
        <f>D102</f>
        <v>0</v>
      </c>
      <c r="E100" s="103">
        <f>E102</f>
        <v>3700</v>
      </c>
      <c r="F100" s="103">
        <f>F102+F103</f>
        <v>9559.7</v>
      </c>
      <c r="G100" s="103">
        <f>G102+G103</f>
        <v>5859.7</v>
      </c>
      <c r="H100" s="103">
        <f>H102</f>
        <v>3700</v>
      </c>
      <c r="I100" s="103"/>
      <c r="J100" s="15">
        <f>J102</f>
        <v>0</v>
      </c>
      <c r="K100" s="15">
        <f>K102</f>
        <v>0</v>
      </c>
      <c r="L100" s="103">
        <f>L102</f>
        <v>0</v>
      </c>
      <c r="M100" s="103"/>
      <c r="Q100" s="103">
        <f>Q102+Q103</f>
        <v>9190</v>
      </c>
      <c r="R100" s="55">
        <f t="shared" si="12"/>
        <v>3700</v>
      </c>
    </row>
    <row r="101" spans="1:18" s="5" customFormat="1" ht="48" customHeight="1">
      <c r="A101" s="77"/>
      <c r="B101" s="29" t="s">
        <v>223</v>
      </c>
      <c r="C101" s="22" t="s">
        <v>79</v>
      </c>
      <c r="D101" s="103"/>
      <c r="E101" s="103"/>
      <c r="F101" s="103">
        <f>F100</f>
        <v>9559.7</v>
      </c>
      <c r="G101" s="103"/>
      <c r="H101" s="103"/>
      <c r="I101" s="103"/>
      <c r="J101" s="15"/>
      <c r="K101" s="15"/>
      <c r="L101" s="103"/>
      <c r="M101" s="103"/>
      <c r="Q101" s="103"/>
      <c r="R101" s="55"/>
    </row>
    <row r="102" spans="1:18" s="5" customFormat="1" ht="49.5">
      <c r="A102" s="77" t="s">
        <v>161</v>
      </c>
      <c r="B102" s="89" t="s">
        <v>159</v>
      </c>
      <c r="C102" s="24" t="s">
        <v>79</v>
      </c>
      <c r="D102" s="102"/>
      <c r="E102" s="102">
        <f>D102+H102</f>
        <v>3700</v>
      </c>
      <c r="F102" s="102">
        <f>3700+369.7</f>
        <v>4069.7</v>
      </c>
      <c r="G102" s="102">
        <f>F102-E102</f>
        <v>369.6999999999998</v>
      </c>
      <c r="H102" s="102">
        <v>3700</v>
      </c>
      <c r="I102" s="81" t="s">
        <v>19</v>
      </c>
      <c r="J102" s="20"/>
      <c r="K102" s="20"/>
      <c r="L102" s="102"/>
      <c r="M102" s="102"/>
      <c r="Q102" s="102">
        <v>3700</v>
      </c>
      <c r="R102" s="55">
        <f t="shared" si="12"/>
        <v>3700</v>
      </c>
    </row>
    <row r="103" spans="1:18" s="5" customFormat="1" ht="54.75" customHeight="1">
      <c r="A103" s="77" t="s">
        <v>162</v>
      </c>
      <c r="B103" s="89" t="s">
        <v>204</v>
      </c>
      <c r="C103" s="24" t="s">
        <v>79</v>
      </c>
      <c r="D103" s="102"/>
      <c r="E103" s="102"/>
      <c r="F103" s="21">
        <v>5490</v>
      </c>
      <c r="G103" s="102">
        <f>F103-E103</f>
        <v>5490</v>
      </c>
      <c r="H103" s="102"/>
      <c r="I103" s="81" t="s">
        <v>19</v>
      </c>
      <c r="J103" s="20"/>
      <c r="K103" s="20"/>
      <c r="L103" s="102"/>
      <c r="M103" s="102"/>
      <c r="Q103" s="102">
        <v>5490</v>
      </c>
      <c r="R103" s="55"/>
    </row>
    <row r="104" spans="1:18" ht="24" customHeight="1">
      <c r="A104" s="22" t="s">
        <v>203</v>
      </c>
      <c r="B104" s="39" t="s">
        <v>5</v>
      </c>
      <c r="C104" s="22" t="s">
        <v>13</v>
      </c>
      <c r="D104" s="103">
        <f>D106</f>
        <v>6615</v>
      </c>
      <c r="E104" s="103">
        <f>E106</f>
        <v>7453.1006</v>
      </c>
      <c r="F104" s="106">
        <f>F106</f>
        <v>7453.1006</v>
      </c>
      <c r="G104" s="103">
        <f>G106</f>
        <v>0</v>
      </c>
      <c r="H104" s="103">
        <f>H106</f>
        <v>838.1006</v>
      </c>
      <c r="I104" s="26"/>
      <c r="J104" s="15">
        <f>J106</f>
        <v>6615</v>
      </c>
      <c r="K104" s="15">
        <f>K106</f>
        <v>0</v>
      </c>
      <c r="L104" s="26">
        <f>L106</f>
        <v>0</v>
      </c>
      <c r="M104" s="26"/>
      <c r="Q104" s="103">
        <f>Q106</f>
        <v>7453.1</v>
      </c>
      <c r="R104" s="55">
        <f aca="true" t="shared" si="14" ref="R104:R135">H104+D104</f>
        <v>7453.1006</v>
      </c>
    </row>
    <row r="105" spans="1:18" ht="20.25" customHeight="1">
      <c r="A105" s="22"/>
      <c r="B105" s="39" t="s">
        <v>170</v>
      </c>
      <c r="C105" s="22" t="s">
        <v>169</v>
      </c>
      <c r="D105" s="103">
        <f aca="true" t="shared" si="15" ref="D105:L106">D106</f>
        <v>6615</v>
      </c>
      <c r="E105" s="103">
        <f t="shared" si="15"/>
        <v>7453.1006</v>
      </c>
      <c r="F105" s="106">
        <f>F106</f>
        <v>7453.1006</v>
      </c>
      <c r="G105" s="103">
        <f>G106</f>
        <v>0</v>
      </c>
      <c r="H105" s="103">
        <f t="shared" si="15"/>
        <v>838.1006</v>
      </c>
      <c r="I105" s="26"/>
      <c r="J105" s="15">
        <f t="shared" si="15"/>
        <v>6615</v>
      </c>
      <c r="K105" s="15">
        <f t="shared" si="15"/>
        <v>0</v>
      </c>
      <c r="L105" s="26">
        <f t="shared" si="15"/>
        <v>0</v>
      </c>
      <c r="M105" s="26"/>
      <c r="Q105" s="103">
        <f>Q106</f>
        <v>7453.1</v>
      </c>
      <c r="R105" s="55">
        <f t="shared" si="14"/>
        <v>7453.1006</v>
      </c>
    </row>
    <row r="106" spans="1:18" ht="87" customHeight="1">
      <c r="A106" s="24"/>
      <c r="B106" s="29" t="s">
        <v>12</v>
      </c>
      <c r="C106" s="22" t="s">
        <v>169</v>
      </c>
      <c r="D106" s="103">
        <f t="shared" si="15"/>
        <v>6615</v>
      </c>
      <c r="E106" s="103">
        <f t="shared" si="15"/>
        <v>7453.1006</v>
      </c>
      <c r="F106" s="106">
        <f>F107</f>
        <v>7453.1006</v>
      </c>
      <c r="G106" s="103">
        <f>G107</f>
        <v>0</v>
      </c>
      <c r="H106" s="103">
        <f t="shared" si="15"/>
        <v>838.1006</v>
      </c>
      <c r="I106" s="26"/>
      <c r="J106" s="15">
        <f t="shared" si="15"/>
        <v>6615</v>
      </c>
      <c r="K106" s="15">
        <f t="shared" si="15"/>
        <v>0</v>
      </c>
      <c r="L106" s="26">
        <f t="shared" si="15"/>
        <v>0</v>
      </c>
      <c r="M106" s="26"/>
      <c r="Q106" s="103">
        <f>Q107</f>
        <v>7453.1</v>
      </c>
      <c r="R106" s="55">
        <f t="shared" si="14"/>
        <v>7453.1006</v>
      </c>
    </row>
    <row r="107" spans="1:18" ht="60.75" customHeight="1">
      <c r="A107" s="24" t="s">
        <v>189</v>
      </c>
      <c r="B107" s="27" t="s">
        <v>133</v>
      </c>
      <c r="C107" s="24" t="s">
        <v>169</v>
      </c>
      <c r="D107" s="102">
        <f>6615</f>
        <v>6615</v>
      </c>
      <c r="E107" s="102">
        <f>D107+H107</f>
        <v>7453.1006</v>
      </c>
      <c r="F107" s="95">
        <v>7453.1006</v>
      </c>
      <c r="G107" s="102">
        <f>F107-E107</f>
        <v>0</v>
      </c>
      <c r="H107" s="102">
        <v>838.1006</v>
      </c>
      <c r="I107" s="81" t="s">
        <v>7</v>
      </c>
      <c r="J107" s="20">
        <v>6615</v>
      </c>
      <c r="K107" s="20"/>
      <c r="L107" s="21"/>
      <c r="M107" s="21"/>
      <c r="Q107" s="102">
        <v>7453.1</v>
      </c>
      <c r="R107" s="55">
        <f t="shared" si="14"/>
        <v>7453.1006</v>
      </c>
    </row>
    <row r="108" spans="1:18" ht="21" customHeight="1">
      <c r="A108" s="22" t="s">
        <v>215</v>
      </c>
      <c r="B108" s="39" t="s">
        <v>50</v>
      </c>
      <c r="C108" s="22">
        <v>1100</v>
      </c>
      <c r="D108" s="103">
        <f aca="true" t="shared" si="16" ref="D108:M108">D109</f>
        <v>8490</v>
      </c>
      <c r="E108" s="103">
        <f t="shared" si="16"/>
        <v>52329.3</v>
      </c>
      <c r="F108" s="103">
        <f>F109</f>
        <v>48930.3</v>
      </c>
      <c r="G108" s="103">
        <f>G109</f>
        <v>-3399</v>
      </c>
      <c r="H108" s="103">
        <f t="shared" si="16"/>
        <v>43839.3</v>
      </c>
      <c r="I108" s="26"/>
      <c r="J108" s="15">
        <f t="shared" si="16"/>
        <v>11641.74</v>
      </c>
      <c r="K108" s="15">
        <f t="shared" si="16"/>
        <v>10035.8</v>
      </c>
      <c r="L108" s="103">
        <f t="shared" si="16"/>
        <v>37782.1</v>
      </c>
      <c r="M108" s="26">
        <f t="shared" si="16"/>
        <v>20392</v>
      </c>
      <c r="Q108" s="103">
        <f>Q109</f>
        <v>48930.3</v>
      </c>
      <c r="R108" s="55">
        <f t="shared" si="14"/>
        <v>52329.3</v>
      </c>
    </row>
    <row r="109" spans="1:18" ht="37.5" customHeight="1">
      <c r="A109" s="22"/>
      <c r="B109" s="29" t="s">
        <v>51</v>
      </c>
      <c r="C109" s="39" t="s">
        <v>52</v>
      </c>
      <c r="D109" s="103">
        <f>D112+D113+D114+D116+D123+D124+D125+D126+D127+D129+D128+D117+D115+D122+D111</f>
        <v>8490</v>
      </c>
      <c r="E109" s="103">
        <f>E110</f>
        <v>52329.3</v>
      </c>
      <c r="F109" s="103">
        <f>F110</f>
        <v>48930.3</v>
      </c>
      <c r="G109" s="103">
        <f>G110</f>
        <v>-3399</v>
      </c>
      <c r="H109" s="103">
        <f>H110</f>
        <v>43839.3</v>
      </c>
      <c r="I109" s="26"/>
      <c r="J109" s="15">
        <f>J112+J113+J114+J116+J123+J124+J125+J126+J127+J129+J128+J117+J115+J122+J111</f>
        <v>11641.74</v>
      </c>
      <c r="K109" s="15">
        <f>K112+K113+K114+K116+K123+K124+K125+K126+K127+K129+K128+K117+K115+K122+K111</f>
        <v>10035.8</v>
      </c>
      <c r="L109" s="103">
        <f>L112+L113+L114+L116+L123+L124+L125+L126+L127+L129+L128+L117+L115+L122+L111+L121</f>
        <v>37782.1</v>
      </c>
      <c r="M109" s="26">
        <f>M112+M113+M114+M116+M123+M124+M125+M126+M127+M129+M128+M117+M115+M122+M111</f>
        <v>20392</v>
      </c>
      <c r="Q109" s="103">
        <f>Q110</f>
        <v>48930.3</v>
      </c>
      <c r="R109" s="55">
        <f t="shared" si="14"/>
        <v>52329.3</v>
      </c>
    </row>
    <row r="110" spans="1:18" ht="52.5" customHeight="1">
      <c r="A110" s="24"/>
      <c r="B110" s="40" t="s">
        <v>53</v>
      </c>
      <c r="C110" s="39" t="s">
        <v>52</v>
      </c>
      <c r="D110" s="103">
        <f>D113+D121+D114+D116+D117+D115+D132</f>
        <v>8490</v>
      </c>
      <c r="E110" s="103">
        <f>E113+E121+E114+E116+E117+E115+E132+E118+E119</f>
        <v>52329.3</v>
      </c>
      <c r="F110" s="103">
        <f>F113+F114+F115+F116+F117+F118+F120+F119</f>
        <v>48930.3</v>
      </c>
      <c r="G110" s="103">
        <f>G113+G114+G115+G116+G117+G118+G120+G119</f>
        <v>-3399</v>
      </c>
      <c r="H110" s="103">
        <f>H113+H121+H114+H116+H117+H115+H132+H118+H119</f>
        <v>43839.3</v>
      </c>
      <c r="I110" s="81"/>
      <c r="J110" s="26">
        <f>J108</f>
        <v>11641.74</v>
      </c>
      <c r="K110" s="26">
        <f>K108</f>
        <v>10035.8</v>
      </c>
      <c r="L110" s="103">
        <f>L108</f>
        <v>37782.1</v>
      </c>
      <c r="M110" s="26">
        <f>M108</f>
        <v>20392</v>
      </c>
      <c r="Q110" s="103">
        <f>Q113+Q114+Q115+Q116+Q117+Q118+Q120+Q119</f>
        <v>48930.3</v>
      </c>
      <c r="R110" s="55">
        <f t="shared" si="14"/>
        <v>52329.3</v>
      </c>
    </row>
    <row r="111" spans="1:18" ht="71.25" customHeight="1" hidden="1">
      <c r="A111" s="24" t="s">
        <v>89</v>
      </c>
      <c r="B111" s="30" t="s">
        <v>105</v>
      </c>
      <c r="C111" s="32" t="s">
        <v>52</v>
      </c>
      <c r="D111" s="102"/>
      <c r="E111" s="102">
        <f aca="true" t="shared" si="17" ref="E111:E119">D111+H111</f>
        <v>0</v>
      </c>
      <c r="F111" s="102"/>
      <c r="G111" s="102"/>
      <c r="H111" s="102"/>
      <c r="I111" s="21"/>
      <c r="J111" s="20"/>
      <c r="K111" s="20"/>
      <c r="L111" s="21"/>
      <c r="M111" s="21"/>
      <c r="Q111" s="102"/>
      <c r="R111" s="55">
        <f t="shared" si="14"/>
        <v>0</v>
      </c>
    </row>
    <row r="112" spans="1:18" ht="57.75" customHeight="1" hidden="1">
      <c r="A112" s="24" t="s">
        <v>90</v>
      </c>
      <c r="B112" s="30" t="s">
        <v>54</v>
      </c>
      <c r="C112" s="32" t="s">
        <v>52</v>
      </c>
      <c r="D112" s="102"/>
      <c r="E112" s="102">
        <f t="shared" si="17"/>
        <v>0</v>
      </c>
      <c r="F112" s="102"/>
      <c r="G112" s="102"/>
      <c r="H112" s="102"/>
      <c r="I112" s="21"/>
      <c r="J112" s="20"/>
      <c r="K112" s="20"/>
      <c r="L112" s="21"/>
      <c r="M112" s="21"/>
      <c r="Q112" s="102"/>
      <c r="R112" s="55">
        <f t="shared" si="14"/>
        <v>0</v>
      </c>
    </row>
    <row r="113" spans="1:18" ht="58.5" customHeight="1">
      <c r="A113" s="24" t="s">
        <v>190</v>
      </c>
      <c r="B113" s="30" t="s">
        <v>146</v>
      </c>
      <c r="C113" s="32" t="s">
        <v>52</v>
      </c>
      <c r="D113" s="102"/>
      <c r="E113" s="102">
        <f t="shared" si="17"/>
        <v>9101.099999999999</v>
      </c>
      <c r="F113" s="102">
        <f>2854.2+6246.9</f>
        <v>9101.099999999999</v>
      </c>
      <c r="G113" s="102">
        <f aca="true" t="shared" si="18" ref="G113:G119">F113-E113</f>
        <v>0</v>
      </c>
      <c r="H113" s="102">
        <f>2854.2+6246.9</f>
        <v>9101.099999999999</v>
      </c>
      <c r="I113" s="81" t="s">
        <v>19</v>
      </c>
      <c r="J113" s="20"/>
      <c r="K113" s="20"/>
      <c r="L113" s="41">
        <v>3039.6</v>
      </c>
      <c r="M113" s="35">
        <f>L113-D113</f>
        <v>3039.6</v>
      </c>
      <c r="Q113" s="99">
        <f>2854.2+6246.9</f>
        <v>9101.099999999999</v>
      </c>
      <c r="R113" s="55">
        <f t="shared" si="14"/>
        <v>9101.099999999999</v>
      </c>
    </row>
    <row r="114" spans="1:18" ht="76.5" customHeight="1">
      <c r="A114" s="24" t="s">
        <v>191</v>
      </c>
      <c r="B114" s="30" t="s">
        <v>147</v>
      </c>
      <c r="C114" s="32" t="s">
        <v>52</v>
      </c>
      <c r="D114" s="102"/>
      <c r="E114" s="102">
        <f t="shared" si="17"/>
        <v>9929.1</v>
      </c>
      <c r="F114" s="102">
        <f>9496.7+432.4</f>
        <v>9929.1</v>
      </c>
      <c r="G114" s="102">
        <f t="shared" si="18"/>
        <v>0</v>
      </c>
      <c r="H114" s="102">
        <f>9496.7+432.4</f>
        <v>9929.1</v>
      </c>
      <c r="I114" s="81" t="s">
        <v>19</v>
      </c>
      <c r="J114" s="20"/>
      <c r="K114" s="20"/>
      <c r="L114" s="102">
        <v>10113.7</v>
      </c>
      <c r="M114" s="35">
        <f>L114-D114</f>
        <v>10113.7</v>
      </c>
      <c r="Q114" s="98">
        <f>9496.7+432.4</f>
        <v>9929.1</v>
      </c>
      <c r="R114" s="55">
        <f t="shared" si="14"/>
        <v>9929.1</v>
      </c>
    </row>
    <row r="115" spans="1:18" ht="75.75" customHeight="1">
      <c r="A115" s="24" t="s">
        <v>192</v>
      </c>
      <c r="B115" s="30" t="s">
        <v>76</v>
      </c>
      <c r="C115" s="32" t="s">
        <v>52</v>
      </c>
      <c r="D115" s="102">
        <v>8490</v>
      </c>
      <c r="E115" s="102">
        <f t="shared" si="17"/>
        <v>9955</v>
      </c>
      <c r="F115" s="21">
        <v>9955</v>
      </c>
      <c r="G115" s="102">
        <f t="shared" si="18"/>
        <v>0</v>
      </c>
      <c r="H115" s="102">
        <f>911.3+553.7</f>
        <v>1465</v>
      </c>
      <c r="I115" s="81" t="s">
        <v>19</v>
      </c>
      <c r="J115" s="20">
        <v>11641.74</v>
      </c>
      <c r="K115" s="20">
        <v>10035.8</v>
      </c>
      <c r="L115" s="102">
        <v>10012.1</v>
      </c>
      <c r="M115" s="35">
        <f>L115-D115</f>
        <v>1522.1000000000004</v>
      </c>
      <c r="Q115" s="99">
        <v>9955</v>
      </c>
      <c r="R115" s="55">
        <f t="shared" si="14"/>
        <v>9955</v>
      </c>
    </row>
    <row r="116" spans="1:18" ht="69.75" customHeight="1">
      <c r="A116" s="24" t="s">
        <v>193</v>
      </c>
      <c r="B116" s="27" t="s">
        <v>110</v>
      </c>
      <c r="C116" s="32" t="s">
        <v>52</v>
      </c>
      <c r="D116" s="102"/>
      <c r="E116" s="102">
        <f t="shared" si="17"/>
        <v>2632.5</v>
      </c>
      <c r="F116" s="102">
        <v>2632.5</v>
      </c>
      <c r="G116" s="102">
        <f t="shared" si="18"/>
        <v>0</v>
      </c>
      <c r="H116" s="102">
        <v>2632.5</v>
      </c>
      <c r="I116" s="81" t="s">
        <v>19</v>
      </c>
      <c r="J116" s="20"/>
      <c r="K116" s="20"/>
      <c r="L116" s="102">
        <v>2803.5</v>
      </c>
      <c r="M116" s="35">
        <f>L116-D116</f>
        <v>2803.5</v>
      </c>
      <c r="Q116" s="99">
        <v>2632.5</v>
      </c>
      <c r="R116" s="55">
        <f t="shared" si="14"/>
        <v>2632.5</v>
      </c>
    </row>
    <row r="117" spans="1:18" ht="63.75" customHeight="1">
      <c r="A117" s="24" t="s">
        <v>194</v>
      </c>
      <c r="B117" s="30" t="s">
        <v>77</v>
      </c>
      <c r="C117" s="32" t="s">
        <v>52</v>
      </c>
      <c r="D117" s="102"/>
      <c r="E117" s="102">
        <f t="shared" si="17"/>
        <v>2735.3</v>
      </c>
      <c r="F117" s="102">
        <v>2735.3</v>
      </c>
      <c r="G117" s="102">
        <f t="shared" si="18"/>
        <v>0</v>
      </c>
      <c r="H117" s="102">
        <v>2735.3</v>
      </c>
      <c r="I117" s="81" t="s">
        <v>19</v>
      </c>
      <c r="J117" s="20"/>
      <c r="K117" s="20"/>
      <c r="L117" s="102">
        <v>2913.1</v>
      </c>
      <c r="M117" s="35">
        <f>L117-D117</f>
        <v>2913.1</v>
      </c>
      <c r="Q117" s="99">
        <v>2735.3</v>
      </c>
      <c r="R117" s="55">
        <f t="shared" si="14"/>
        <v>2735.3</v>
      </c>
    </row>
    <row r="118" spans="1:18" ht="72.75" customHeight="1">
      <c r="A118" s="24" t="s">
        <v>195</v>
      </c>
      <c r="B118" s="30" t="s">
        <v>198</v>
      </c>
      <c r="C118" s="32" t="s">
        <v>52</v>
      </c>
      <c r="D118" s="102"/>
      <c r="E118" s="102">
        <f t="shared" si="17"/>
        <v>2633.6</v>
      </c>
      <c r="F118" s="102">
        <v>1868.2</v>
      </c>
      <c r="G118" s="102">
        <f t="shared" si="18"/>
        <v>-765.3999999999999</v>
      </c>
      <c r="H118" s="102">
        <v>2633.6</v>
      </c>
      <c r="I118" s="81" t="s">
        <v>19</v>
      </c>
      <c r="J118" s="20"/>
      <c r="K118" s="20"/>
      <c r="L118" s="102"/>
      <c r="M118" s="35"/>
      <c r="Q118" s="102">
        <v>1868.2</v>
      </c>
      <c r="R118" s="55">
        <f t="shared" si="14"/>
        <v>2633.6</v>
      </c>
    </row>
    <row r="119" spans="1:18" ht="63.75" customHeight="1" hidden="1">
      <c r="A119" s="24" t="s">
        <v>201</v>
      </c>
      <c r="B119" s="30" t="s">
        <v>199</v>
      </c>
      <c r="C119" s="32" t="s">
        <v>52</v>
      </c>
      <c r="D119" s="102"/>
      <c r="E119" s="102">
        <f t="shared" si="17"/>
        <v>2633.6</v>
      </c>
      <c r="F119" s="102"/>
      <c r="G119" s="102">
        <f t="shared" si="18"/>
        <v>-2633.6</v>
      </c>
      <c r="H119" s="102">
        <v>2633.6</v>
      </c>
      <c r="I119" s="81" t="s">
        <v>19</v>
      </c>
      <c r="J119" s="20"/>
      <c r="K119" s="20"/>
      <c r="L119" s="102"/>
      <c r="M119" s="35"/>
      <c r="Q119" s="102"/>
      <c r="R119" s="55">
        <f t="shared" si="14"/>
        <v>2633.6</v>
      </c>
    </row>
    <row r="120" spans="1:18" ht="39" customHeight="1">
      <c r="A120" s="24"/>
      <c r="B120" s="40" t="s">
        <v>150</v>
      </c>
      <c r="C120" s="22" t="s">
        <v>52</v>
      </c>
      <c r="D120" s="103">
        <f>D121+D132</f>
        <v>0</v>
      </c>
      <c r="E120" s="103">
        <f>E121+E132</f>
        <v>12709.100000000002</v>
      </c>
      <c r="F120" s="103">
        <f>F121+F132+F129</f>
        <v>12709.100000000002</v>
      </c>
      <c r="G120" s="103">
        <f>G121+G132+G129</f>
        <v>0</v>
      </c>
      <c r="H120" s="103">
        <f>H121+H132</f>
        <v>12709.100000000002</v>
      </c>
      <c r="I120" s="102"/>
      <c r="J120" s="20"/>
      <c r="K120" s="20"/>
      <c r="L120" s="102"/>
      <c r="M120" s="35"/>
      <c r="Q120" s="103">
        <f>Q121+Q132+Q129</f>
        <v>12709.100000000002</v>
      </c>
      <c r="R120" s="55">
        <f t="shared" si="14"/>
        <v>12709.100000000002</v>
      </c>
    </row>
    <row r="121" spans="1:18" ht="75.75" customHeight="1">
      <c r="A121" s="24" t="s">
        <v>196</v>
      </c>
      <c r="B121" s="30" t="s">
        <v>148</v>
      </c>
      <c r="C121" s="24" t="s">
        <v>52</v>
      </c>
      <c r="D121" s="102"/>
      <c r="E121" s="102">
        <f aca="true" t="shared" si="19" ref="E121:E132">D121+H121</f>
        <v>8511.800000000001</v>
      </c>
      <c r="F121" s="102">
        <f>8357.1+154.7</f>
        <v>8511.800000000001</v>
      </c>
      <c r="G121" s="102">
        <f aca="true" t="shared" si="20" ref="G121:G132">F121-E121</f>
        <v>0</v>
      </c>
      <c r="H121" s="102">
        <f>8357.1+154.7</f>
        <v>8511.800000000001</v>
      </c>
      <c r="I121" s="81" t="s">
        <v>19</v>
      </c>
      <c r="J121" s="20"/>
      <c r="K121" s="20"/>
      <c r="L121" s="41">
        <v>8900.1</v>
      </c>
      <c r="M121" s="35">
        <f>L121-D121</f>
        <v>8900.1</v>
      </c>
      <c r="Q121" s="102">
        <f>8357.1+154.7</f>
        <v>8511.800000000001</v>
      </c>
      <c r="R121" s="55">
        <f t="shared" si="14"/>
        <v>8511.800000000001</v>
      </c>
    </row>
    <row r="122" spans="1:18" ht="69.75" customHeight="1" hidden="1">
      <c r="A122" s="24" t="s">
        <v>85</v>
      </c>
      <c r="B122" s="30" t="s">
        <v>104</v>
      </c>
      <c r="C122" s="32" t="s">
        <v>52</v>
      </c>
      <c r="D122" s="102"/>
      <c r="E122" s="102">
        <f t="shared" si="19"/>
        <v>0</v>
      </c>
      <c r="F122" s="102"/>
      <c r="G122" s="102">
        <f t="shared" si="20"/>
        <v>0</v>
      </c>
      <c r="H122" s="102"/>
      <c r="I122" s="81" t="s">
        <v>19</v>
      </c>
      <c r="J122" s="20"/>
      <c r="K122" s="20"/>
      <c r="L122" s="21"/>
      <c r="M122" s="21"/>
      <c r="Q122" s="102"/>
      <c r="R122" s="55">
        <f t="shared" si="14"/>
        <v>0</v>
      </c>
    </row>
    <row r="123" spans="1:18" ht="56.25" customHeight="1" hidden="1">
      <c r="A123" s="24" t="s">
        <v>91</v>
      </c>
      <c r="B123" s="42" t="s">
        <v>60</v>
      </c>
      <c r="C123" s="32" t="s">
        <v>52</v>
      </c>
      <c r="D123" s="102"/>
      <c r="E123" s="102">
        <f t="shared" si="19"/>
        <v>0</v>
      </c>
      <c r="F123" s="102"/>
      <c r="G123" s="102">
        <f t="shared" si="20"/>
        <v>0</v>
      </c>
      <c r="H123" s="102"/>
      <c r="I123" s="81" t="s">
        <v>19</v>
      </c>
      <c r="J123" s="20"/>
      <c r="K123" s="20"/>
      <c r="L123" s="102"/>
      <c r="M123" s="102"/>
      <c r="Q123" s="102"/>
      <c r="R123" s="55">
        <f t="shared" si="14"/>
        <v>0</v>
      </c>
    </row>
    <row r="124" spans="1:18" ht="59.25" customHeight="1" hidden="1">
      <c r="A124" s="24" t="s">
        <v>92</v>
      </c>
      <c r="B124" s="42" t="s">
        <v>61</v>
      </c>
      <c r="C124" s="32" t="s">
        <v>52</v>
      </c>
      <c r="D124" s="102"/>
      <c r="E124" s="102">
        <f t="shared" si="19"/>
        <v>0</v>
      </c>
      <c r="F124" s="102"/>
      <c r="G124" s="102">
        <f t="shared" si="20"/>
        <v>0</v>
      </c>
      <c r="H124" s="102"/>
      <c r="I124" s="81" t="s">
        <v>19</v>
      </c>
      <c r="J124" s="20"/>
      <c r="K124" s="20"/>
      <c r="L124" s="102"/>
      <c r="M124" s="102"/>
      <c r="Q124" s="102"/>
      <c r="R124" s="55">
        <f t="shared" si="14"/>
        <v>0</v>
      </c>
    </row>
    <row r="125" spans="1:18" ht="55.5" customHeight="1" hidden="1">
      <c r="A125" s="24" t="s">
        <v>93</v>
      </c>
      <c r="B125" s="43" t="s">
        <v>62</v>
      </c>
      <c r="C125" s="32" t="s">
        <v>52</v>
      </c>
      <c r="D125" s="102"/>
      <c r="E125" s="102">
        <f t="shared" si="19"/>
        <v>0</v>
      </c>
      <c r="F125" s="102"/>
      <c r="G125" s="102">
        <f t="shared" si="20"/>
        <v>0</v>
      </c>
      <c r="H125" s="102"/>
      <c r="I125" s="81" t="s">
        <v>19</v>
      </c>
      <c r="J125" s="20"/>
      <c r="K125" s="20"/>
      <c r="L125" s="102"/>
      <c r="M125" s="102"/>
      <c r="Q125" s="102"/>
      <c r="R125" s="55">
        <f t="shared" si="14"/>
        <v>0</v>
      </c>
    </row>
    <row r="126" spans="1:18" ht="70.5" customHeight="1" hidden="1">
      <c r="A126" s="24" t="s">
        <v>94</v>
      </c>
      <c r="B126" s="44" t="s">
        <v>63</v>
      </c>
      <c r="C126" s="32" t="s">
        <v>52</v>
      </c>
      <c r="D126" s="102"/>
      <c r="E126" s="102">
        <f t="shared" si="19"/>
        <v>0</v>
      </c>
      <c r="F126" s="102"/>
      <c r="G126" s="102">
        <f t="shared" si="20"/>
        <v>0</v>
      </c>
      <c r="H126" s="102"/>
      <c r="I126" s="81" t="s">
        <v>19</v>
      </c>
      <c r="J126" s="20"/>
      <c r="K126" s="20"/>
      <c r="L126" s="102"/>
      <c r="M126" s="102"/>
      <c r="Q126" s="102"/>
      <c r="R126" s="55">
        <f t="shared" si="14"/>
        <v>0</v>
      </c>
    </row>
    <row r="127" spans="1:18" ht="57.75" customHeight="1" hidden="1">
      <c r="A127" s="24" t="s">
        <v>95</v>
      </c>
      <c r="B127" s="44" t="s">
        <v>64</v>
      </c>
      <c r="C127" s="32" t="s">
        <v>52</v>
      </c>
      <c r="D127" s="102"/>
      <c r="E127" s="102">
        <f t="shared" si="19"/>
        <v>0</v>
      </c>
      <c r="F127" s="102"/>
      <c r="G127" s="102">
        <f t="shared" si="20"/>
        <v>0</v>
      </c>
      <c r="H127" s="102"/>
      <c r="I127" s="81" t="s">
        <v>19</v>
      </c>
      <c r="J127" s="20"/>
      <c r="K127" s="20"/>
      <c r="L127" s="102"/>
      <c r="M127" s="102"/>
      <c r="Q127" s="102"/>
      <c r="R127" s="55">
        <f t="shared" si="14"/>
        <v>0</v>
      </c>
    </row>
    <row r="128" spans="1:18" ht="67.5" customHeight="1" hidden="1">
      <c r="A128" s="24" t="s">
        <v>96</v>
      </c>
      <c r="B128" s="44" t="s">
        <v>65</v>
      </c>
      <c r="C128" s="32" t="s">
        <v>52</v>
      </c>
      <c r="D128" s="102"/>
      <c r="E128" s="102">
        <f t="shared" si="19"/>
        <v>0</v>
      </c>
      <c r="F128" s="102"/>
      <c r="G128" s="102">
        <f t="shared" si="20"/>
        <v>0</v>
      </c>
      <c r="H128" s="102"/>
      <c r="I128" s="81" t="s">
        <v>19</v>
      </c>
      <c r="J128" s="20"/>
      <c r="K128" s="20"/>
      <c r="L128" s="102"/>
      <c r="M128" s="102"/>
      <c r="Q128" s="102"/>
      <c r="R128" s="55">
        <f t="shared" si="14"/>
        <v>0</v>
      </c>
    </row>
    <row r="129" spans="1:18" ht="74.25" customHeight="1">
      <c r="A129" s="24" t="s">
        <v>197</v>
      </c>
      <c r="B129" s="44" t="s">
        <v>209</v>
      </c>
      <c r="C129" s="32" t="s">
        <v>52</v>
      </c>
      <c r="D129" s="102"/>
      <c r="E129" s="102">
        <f t="shared" si="19"/>
        <v>0</v>
      </c>
      <c r="F129" s="102">
        <v>4197.3</v>
      </c>
      <c r="G129" s="102">
        <f t="shared" si="20"/>
        <v>4197.3</v>
      </c>
      <c r="H129" s="102"/>
      <c r="I129" s="81" t="s">
        <v>19</v>
      </c>
      <c r="J129" s="20"/>
      <c r="K129" s="20"/>
      <c r="L129" s="102"/>
      <c r="M129" s="102"/>
      <c r="Q129" s="102">
        <v>4197.3</v>
      </c>
      <c r="R129" s="55">
        <f t="shared" si="14"/>
        <v>0</v>
      </c>
    </row>
    <row r="130" spans="1:18" ht="53.25" customHeight="1" hidden="1">
      <c r="A130" s="24"/>
      <c r="B130" s="44"/>
      <c r="C130" s="24"/>
      <c r="D130" s="102"/>
      <c r="E130" s="102">
        <f t="shared" si="19"/>
        <v>0</v>
      </c>
      <c r="F130" s="102"/>
      <c r="G130" s="102">
        <f t="shared" si="20"/>
        <v>0</v>
      </c>
      <c r="H130" s="102"/>
      <c r="I130" s="81" t="s">
        <v>19</v>
      </c>
      <c r="J130" s="20"/>
      <c r="K130" s="20"/>
      <c r="L130" s="41"/>
      <c r="M130" s="41"/>
      <c r="Q130" s="102"/>
      <c r="R130" s="55">
        <f t="shared" si="14"/>
        <v>0</v>
      </c>
    </row>
    <row r="131" spans="1:18" ht="37.5" customHeight="1" hidden="1">
      <c r="A131" s="24"/>
      <c r="B131" s="27"/>
      <c r="C131" s="24"/>
      <c r="D131" s="102"/>
      <c r="E131" s="102">
        <f t="shared" si="19"/>
        <v>0</v>
      </c>
      <c r="F131" s="102"/>
      <c r="G131" s="102">
        <f t="shared" si="20"/>
        <v>0</v>
      </c>
      <c r="H131" s="102"/>
      <c r="I131" s="81" t="s">
        <v>19</v>
      </c>
      <c r="J131" s="20"/>
      <c r="K131" s="20"/>
      <c r="L131" s="41"/>
      <c r="M131" s="41"/>
      <c r="Q131" s="102"/>
      <c r="R131" s="55">
        <f t="shared" si="14"/>
        <v>0</v>
      </c>
    </row>
    <row r="132" spans="1:18" ht="66" hidden="1">
      <c r="A132" s="24" t="s">
        <v>202</v>
      </c>
      <c r="B132" s="30" t="s">
        <v>149</v>
      </c>
      <c r="C132" s="24" t="s">
        <v>52</v>
      </c>
      <c r="D132" s="102"/>
      <c r="E132" s="102">
        <f t="shared" si="19"/>
        <v>4197.3</v>
      </c>
      <c r="F132" s="102"/>
      <c r="G132" s="102">
        <f t="shared" si="20"/>
        <v>-4197.3</v>
      </c>
      <c r="H132" s="102">
        <v>4197.3</v>
      </c>
      <c r="I132" s="81" t="s">
        <v>19</v>
      </c>
      <c r="J132" s="20"/>
      <c r="K132" s="20"/>
      <c r="L132" s="41"/>
      <c r="M132" s="41"/>
      <c r="Q132" s="102"/>
      <c r="R132" s="55">
        <f t="shared" si="14"/>
        <v>4197.3</v>
      </c>
    </row>
    <row r="133" spans="1:18" ht="27.75" customHeight="1">
      <c r="A133" s="115" t="s">
        <v>56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6"/>
      <c r="Q133" s="6"/>
      <c r="R133" s="55">
        <f t="shared" si="14"/>
        <v>0</v>
      </c>
    </row>
    <row r="134" spans="1:18" ht="27.75" customHeight="1">
      <c r="A134" s="22" t="s">
        <v>10</v>
      </c>
      <c r="B134" s="22" t="s">
        <v>70</v>
      </c>
      <c r="C134" s="22" t="s">
        <v>99</v>
      </c>
      <c r="D134" s="103">
        <f aca="true" t="shared" si="21" ref="D134:L134">D135</f>
        <v>0</v>
      </c>
      <c r="E134" s="103">
        <f t="shared" si="21"/>
        <v>55655.5</v>
      </c>
      <c r="F134" s="103">
        <f>F135</f>
        <v>55655.5</v>
      </c>
      <c r="G134" s="103">
        <f>G135</f>
        <v>0</v>
      </c>
      <c r="H134" s="103">
        <f t="shared" si="21"/>
        <v>55655.5</v>
      </c>
      <c r="I134" s="103"/>
      <c r="J134" s="15">
        <f t="shared" si="21"/>
        <v>0</v>
      </c>
      <c r="K134" s="15">
        <f t="shared" si="21"/>
        <v>0</v>
      </c>
      <c r="L134" s="103">
        <f t="shared" si="21"/>
        <v>0</v>
      </c>
      <c r="M134" s="46"/>
      <c r="Q134" s="103">
        <f>Q135</f>
        <v>55655.5</v>
      </c>
      <c r="R134" s="55">
        <f t="shared" si="14"/>
        <v>55655.5</v>
      </c>
    </row>
    <row r="135" spans="1:18" ht="39.75" customHeight="1">
      <c r="A135" s="24"/>
      <c r="B135" s="74" t="s">
        <v>69</v>
      </c>
      <c r="C135" s="22" t="s">
        <v>68</v>
      </c>
      <c r="D135" s="103">
        <f>D139</f>
        <v>0</v>
      </c>
      <c r="E135" s="103">
        <f>E139+E140+E141+E142</f>
        <v>55655.5</v>
      </c>
      <c r="F135" s="103">
        <f>F139+F140+F141+F142</f>
        <v>55655.5</v>
      </c>
      <c r="G135" s="103">
        <f>G139+G140+G141+G142</f>
        <v>0</v>
      </c>
      <c r="H135" s="103">
        <f>H139+H140+H141+H142</f>
        <v>55655.5</v>
      </c>
      <c r="I135" s="103"/>
      <c r="J135" s="15">
        <f>J139</f>
        <v>0</v>
      </c>
      <c r="K135" s="15">
        <f>K139</f>
        <v>0</v>
      </c>
      <c r="L135" s="103">
        <f>L139</f>
        <v>0</v>
      </c>
      <c r="M135" s="46"/>
      <c r="Q135" s="103">
        <f>Q139+Q140+Q141+Q142</f>
        <v>55655.5</v>
      </c>
      <c r="R135" s="55">
        <f t="shared" si="14"/>
        <v>55655.5</v>
      </c>
    </row>
    <row r="136" spans="1:18" ht="74.25" customHeight="1">
      <c r="A136" s="24"/>
      <c r="B136" s="107" t="s">
        <v>222</v>
      </c>
      <c r="C136" s="22" t="s">
        <v>68</v>
      </c>
      <c r="D136" s="103"/>
      <c r="E136" s="103"/>
      <c r="F136" s="103">
        <f>F135</f>
        <v>55655.5</v>
      </c>
      <c r="G136" s="103"/>
      <c r="H136" s="103"/>
      <c r="I136" s="103"/>
      <c r="J136" s="15"/>
      <c r="K136" s="15"/>
      <c r="L136" s="103"/>
      <c r="M136" s="46"/>
      <c r="Q136" s="103"/>
      <c r="R136" s="55"/>
    </row>
    <row r="137" spans="1:18" ht="57" customHeight="1">
      <c r="A137" s="24"/>
      <c r="B137" s="108" t="s">
        <v>67</v>
      </c>
      <c r="C137" s="22" t="s">
        <v>68</v>
      </c>
      <c r="D137" s="103"/>
      <c r="E137" s="103"/>
      <c r="F137" s="103">
        <f>F136</f>
        <v>55655.5</v>
      </c>
      <c r="G137" s="103"/>
      <c r="H137" s="103"/>
      <c r="I137" s="103"/>
      <c r="J137" s="15"/>
      <c r="K137" s="15"/>
      <c r="L137" s="103"/>
      <c r="M137" s="46"/>
      <c r="Q137" s="103"/>
      <c r="R137" s="55"/>
    </row>
    <row r="138" spans="1:18" ht="36.75" customHeight="1">
      <c r="A138" s="24"/>
      <c r="B138" s="75" t="s">
        <v>200</v>
      </c>
      <c r="C138" s="22"/>
      <c r="D138" s="103"/>
      <c r="E138" s="103"/>
      <c r="F138" s="103"/>
      <c r="G138" s="103"/>
      <c r="H138" s="103"/>
      <c r="I138" s="103"/>
      <c r="J138" s="15"/>
      <c r="K138" s="15"/>
      <c r="L138" s="103"/>
      <c r="M138" s="46"/>
      <c r="Q138" s="103"/>
      <c r="R138" s="55"/>
    </row>
    <row r="139" spans="1:18" ht="174.75" customHeight="1">
      <c r="A139" s="24" t="s">
        <v>25</v>
      </c>
      <c r="B139" s="27" t="s">
        <v>218</v>
      </c>
      <c r="C139" s="24" t="s">
        <v>68</v>
      </c>
      <c r="D139" s="102"/>
      <c r="E139" s="102">
        <f>D139+H139</f>
        <v>14396.5</v>
      </c>
      <c r="F139" s="102">
        <v>16781.5</v>
      </c>
      <c r="G139" s="102">
        <f>F139-E139</f>
        <v>2385</v>
      </c>
      <c r="H139" s="102">
        <v>14396.5</v>
      </c>
      <c r="I139" s="81" t="s">
        <v>173</v>
      </c>
      <c r="J139" s="20"/>
      <c r="K139" s="20"/>
      <c r="L139" s="102"/>
      <c r="M139" s="50"/>
      <c r="Q139" s="102">
        <v>16781.5</v>
      </c>
      <c r="R139" s="55">
        <f>H139+D139</f>
        <v>14396.5</v>
      </c>
    </row>
    <row r="140" spans="1:18" ht="122.25" customHeight="1">
      <c r="A140" s="24" t="s">
        <v>26</v>
      </c>
      <c r="B140" s="27" t="s">
        <v>219</v>
      </c>
      <c r="C140" s="24" t="s">
        <v>68</v>
      </c>
      <c r="D140" s="102"/>
      <c r="E140" s="102">
        <f>D140+H140</f>
        <v>16541.5</v>
      </c>
      <c r="F140" s="102">
        <v>19615.5</v>
      </c>
      <c r="G140" s="102">
        <f>F140-E140</f>
        <v>3074</v>
      </c>
      <c r="H140" s="102">
        <v>16541.5</v>
      </c>
      <c r="I140" s="81" t="s">
        <v>173</v>
      </c>
      <c r="J140" s="20"/>
      <c r="K140" s="20"/>
      <c r="L140" s="102"/>
      <c r="M140" s="50"/>
      <c r="Q140" s="102">
        <v>19615.5</v>
      </c>
      <c r="R140" s="55"/>
    </row>
    <row r="141" spans="1:18" ht="81.75" customHeight="1">
      <c r="A141" s="24" t="s">
        <v>27</v>
      </c>
      <c r="B141" s="27" t="s">
        <v>221</v>
      </c>
      <c r="C141" s="24" t="s">
        <v>68</v>
      </c>
      <c r="D141" s="102"/>
      <c r="E141" s="102">
        <f>D141+H141</f>
        <v>15898</v>
      </c>
      <c r="F141" s="21">
        <v>10390</v>
      </c>
      <c r="G141" s="102">
        <f>F141-E141</f>
        <v>-5508</v>
      </c>
      <c r="H141" s="102">
        <v>15898</v>
      </c>
      <c r="I141" s="81" t="s">
        <v>173</v>
      </c>
      <c r="J141" s="20"/>
      <c r="K141" s="20"/>
      <c r="L141" s="102"/>
      <c r="M141" s="50"/>
      <c r="Q141" s="102">
        <v>10390</v>
      </c>
      <c r="R141" s="55"/>
    </row>
    <row r="142" spans="1:18" ht="75" customHeight="1">
      <c r="A142" s="24" t="s">
        <v>38</v>
      </c>
      <c r="B142" s="27" t="s">
        <v>172</v>
      </c>
      <c r="C142" s="24" t="s">
        <v>68</v>
      </c>
      <c r="D142" s="102"/>
      <c r="E142" s="102">
        <f>D142+H142</f>
        <v>8819.5</v>
      </c>
      <c r="F142" s="102">
        <v>8868.5</v>
      </c>
      <c r="G142" s="102">
        <f>F142-E142</f>
        <v>49</v>
      </c>
      <c r="H142" s="102">
        <v>8819.5</v>
      </c>
      <c r="I142" s="81" t="s">
        <v>173</v>
      </c>
      <c r="J142" s="20"/>
      <c r="K142" s="20"/>
      <c r="L142" s="102"/>
      <c r="M142" s="50"/>
      <c r="Q142" s="102">
        <v>8868.5</v>
      </c>
      <c r="R142" s="55"/>
    </row>
    <row r="143" spans="1:18" ht="27.75" customHeight="1">
      <c r="A143" s="22" t="s">
        <v>18</v>
      </c>
      <c r="B143" s="25" t="s">
        <v>40</v>
      </c>
      <c r="C143" s="22" t="s">
        <v>41</v>
      </c>
      <c r="D143" s="103">
        <f>D144+D150</f>
        <v>0</v>
      </c>
      <c r="E143" s="103">
        <f>E144+E150</f>
        <v>271093.55934</v>
      </c>
      <c r="F143" s="104">
        <f>F144+F150</f>
        <v>385210.68377</v>
      </c>
      <c r="G143" s="104">
        <f>G144+G150</f>
        <v>114117.12443</v>
      </c>
      <c r="H143" s="104">
        <f>H144+H150</f>
        <v>271093.55934</v>
      </c>
      <c r="I143" s="104"/>
      <c r="J143" s="15">
        <f>J144+J150</f>
        <v>0</v>
      </c>
      <c r="K143" s="15">
        <f>K144+K150</f>
        <v>0</v>
      </c>
      <c r="L143" s="104">
        <f>L144+L150</f>
        <v>0</v>
      </c>
      <c r="M143" s="51"/>
      <c r="Q143" s="104">
        <f>Q144+Q150</f>
        <v>271093.55934</v>
      </c>
      <c r="R143" s="55">
        <f aca="true" t="shared" si="22" ref="R143:R150">H143+D143</f>
        <v>271093.55934</v>
      </c>
    </row>
    <row r="144" spans="1:18" ht="27.75" customHeight="1">
      <c r="A144" s="22"/>
      <c r="B144" s="25" t="s">
        <v>42</v>
      </c>
      <c r="C144" s="22" t="s">
        <v>43</v>
      </c>
      <c r="D144" s="103">
        <f>D146</f>
        <v>0</v>
      </c>
      <c r="E144" s="103">
        <f>E146</f>
        <v>204419.85934</v>
      </c>
      <c r="F144" s="104">
        <f>F146</f>
        <v>318536.98377</v>
      </c>
      <c r="G144" s="104">
        <f>G146</f>
        <v>114117.12443</v>
      </c>
      <c r="H144" s="104">
        <f>H146</f>
        <v>204419.85934</v>
      </c>
      <c r="I144" s="104"/>
      <c r="J144" s="15">
        <f>J146</f>
        <v>0</v>
      </c>
      <c r="K144" s="15">
        <f>K146</f>
        <v>0</v>
      </c>
      <c r="L144" s="104">
        <f>L146</f>
        <v>0</v>
      </c>
      <c r="M144" s="51"/>
      <c r="Q144" s="104">
        <f>Q146</f>
        <v>204419.85934</v>
      </c>
      <c r="R144" s="55">
        <f t="shared" si="22"/>
        <v>204419.85934</v>
      </c>
    </row>
    <row r="145" spans="1:18" ht="84" customHeight="1">
      <c r="A145" s="22"/>
      <c r="B145" s="27" t="s">
        <v>11</v>
      </c>
      <c r="C145" s="22" t="s">
        <v>43</v>
      </c>
      <c r="D145" s="103">
        <f>D146</f>
        <v>0</v>
      </c>
      <c r="E145" s="103">
        <f>E146</f>
        <v>204419.85934</v>
      </c>
      <c r="F145" s="104">
        <f>F146</f>
        <v>318536.98377</v>
      </c>
      <c r="G145" s="104">
        <f>G146</f>
        <v>114117.12443</v>
      </c>
      <c r="H145" s="104">
        <f>H146</f>
        <v>204419.85934</v>
      </c>
      <c r="I145" s="104"/>
      <c r="J145" s="15">
        <f>J146</f>
        <v>0</v>
      </c>
      <c r="K145" s="15">
        <f>K146</f>
        <v>0</v>
      </c>
      <c r="L145" s="104">
        <f>L146</f>
        <v>0</v>
      </c>
      <c r="M145" s="51"/>
      <c r="Q145" s="104">
        <f>Q146</f>
        <v>204419.85934</v>
      </c>
      <c r="R145" s="55">
        <f t="shared" si="22"/>
        <v>204419.85934</v>
      </c>
    </row>
    <row r="146" spans="1:18" ht="55.5" customHeight="1">
      <c r="A146" s="24" t="s">
        <v>39</v>
      </c>
      <c r="B146" s="27" t="s">
        <v>44</v>
      </c>
      <c r="C146" s="24" t="s">
        <v>43</v>
      </c>
      <c r="D146" s="102"/>
      <c r="E146" s="102">
        <f>E149</f>
        <v>204419.85934</v>
      </c>
      <c r="F146" s="105">
        <f>F149+F148</f>
        <v>318536.98377</v>
      </c>
      <c r="G146" s="102">
        <f>F146-E146</f>
        <v>114117.12443</v>
      </c>
      <c r="H146" s="105">
        <f>H149</f>
        <v>204419.85934</v>
      </c>
      <c r="I146" s="81" t="s">
        <v>7</v>
      </c>
      <c r="J146" s="20"/>
      <c r="K146" s="20"/>
      <c r="L146" s="105"/>
      <c r="M146" s="52"/>
      <c r="Q146" s="105">
        <f>Q149</f>
        <v>204419.85934</v>
      </c>
      <c r="R146" s="55">
        <f t="shared" si="22"/>
        <v>204419.85934</v>
      </c>
    </row>
    <row r="147" spans="1:18" ht="27.75" customHeight="1">
      <c r="A147" s="22"/>
      <c r="B147" s="75" t="s">
        <v>20</v>
      </c>
      <c r="C147" s="24" t="s">
        <v>43</v>
      </c>
      <c r="D147" s="103"/>
      <c r="E147" s="103"/>
      <c r="F147" s="103"/>
      <c r="G147" s="103"/>
      <c r="H147" s="103"/>
      <c r="I147" s="101"/>
      <c r="J147" s="15"/>
      <c r="K147" s="15"/>
      <c r="L147" s="101"/>
      <c r="M147" s="88"/>
      <c r="Q147" s="103"/>
      <c r="R147" s="55">
        <f t="shared" si="22"/>
        <v>0</v>
      </c>
    </row>
    <row r="148" spans="1:18" ht="30.75" customHeight="1">
      <c r="A148" s="22"/>
      <c r="B148" s="76" t="s">
        <v>21</v>
      </c>
      <c r="C148" s="24" t="s">
        <v>43</v>
      </c>
      <c r="D148" s="103"/>
      <c r="E148" s="103"/>
      <c r="F148" s="105">
        <v>112171.29583</v>
      </c>
      <c r="G148" s="103"/>
      <c r="H148" s="103"/>
      <c r="I148" s="101"/>
      <c r="J148" s="15"/>
      <c r="K148" s="15"/>
      <c r="L148" s="101"/>
      <c r="M148" s="88"/>
      <c r="Q148" s="103"/>
      <c r="R148" s="55">
        <f t="shared" si="22"/>
        <v>0</v>
      </c>
    </row>
    <row r="149" spans="1:19" ht="27.75" customHeight="1">
      <c r="A149" s="22"/>
      <c r="B149" s="75" t="s">
        <v>22</v>
      </c>
      <c r="C149" s="24" t="s">
        <v>43</v>
      </c>
      <c r="D149" s="102"/>
      <c r="E149" s="102">
        <f>D149+H149</f>
        <v>204419.85934</v>
      </c>
      <c r="F149" s="105">
        <f>196000+8419.85934+1945.8286</f>
        <v>206365.68794</v>
      </c>
      <c r="G149" s="102">
        <f>F149-E149</f>
        <v>1945.828600000008</v>
      </c>
      <c r="H149" s="102">
        <f>196000+8419.85934</f>
        <v>204419.85934</v>
      </c>
      <c r="I149" s="105"/>
      <c r="J149" s="20"/>
      <c r="K149" s="20"/>
      <c r="L149" s="105"/>
      <c r="M149" s="52"/>
      <c r="Q149" s="102">
        <f>196000+8419.85934</f>
        <v>204419.85934</v>
      </c>
      <c r="R149" s="55">
        <f t="shared" si="22"/>
        <v>204419.85934</v>
      </c>
      <c r="S149" s="6" t="s">
        <v>156</v>
      </c>
    </row>
    <row r="150" spans="1:18" ht="37.5" customHeight="1">
      <c r="A150" s="22"/>
      <c r="B150" s="29" t="s">
        <v>45</v>
      </c>
      <c r="C150" s="22" t="s">
        <v>46</v>
      </c>
      <c r="D150" s="103">
        <f aca="true" t="shared" si="23" ref="D150:L150">D152</f>
        <v>0</v>
      </c>
      <c r="E150" s="103">
        <f>E151</f>
        <v>66673.7</v>
      </c>
      <c r="F150" s="103">
        <f>F151</f>
        <v>66673.7</v>
      </c>
      <c r="G150" s="103">
        <f>G151</f>
        <v>0</v>
      </c>
      <c r="H150" s="103">
        <f>H151</f>
        <v>66673.7</v>
      </c>
      <c r="I150" s="103"/>
      <c r="J150" s="15">
        <f t="shared" si="23"/>
        <v>0</v>
      </c>
      <c r="K150" s="15">
        <f t="shared" si="23"/>
        <v>0</v>
      </c>
      <c r="L150" s="103">
        <f t="shared" si="23"/>
        <v>0</v>
      </c>
      <c r="M150" s="46"/>
      <c r="Q150" s="103">
        <f>Q151</f>
        <v>66673.7</v>
      </c>
      <c r="R150" s="55">
        <f t="shared" si="22"/>
        <v>66673.7</v>
      </c>
    </row>
    <row r="151" spans="1:18" ht="58.5" customHeight="1">
      <c r="A151" s="22"/>
      <c r="B151" s="29" t="s">
        <v>47</v>
      </c>
      <c r="C151" s="22" t="s">
        <v>46</v>
      </c>
      <c r="D151" s="103"/>
      <c r="E151" s="103">
        <f>E152+E156</f>
        <v>66673.7</v>
      </c>
      <c r="F151" s="103">
        <f>F152+F156</f>
        <v>66673.7</v>
      </c>
      <c r="G151" s="103">
        <f>G152+G156</f>
        <v>0</v>
      </c>
      <c r="H151" s="103">
        <f>H152+H156</f>
        <v>66673.7</v>
      </c>
      <c r="I151" s="103"/>
      <c r="J151" s="15"/>
      <c r="K151" s="15"/>
      <c r="L151" s="103"/>
      <c r="M151" s="46"/>
      <c r="Q151" s="103">
        <f>Q152+Q156</f>
        <v>66673.7</v>
      </c>
      <c r="R151" s="55"/>
    </row>
    <row r="152" spans="1:18" ht="19.5" customHeight="1">
      <c r="A152" s="22"/>
      <c r="B152" s="29" t="s">
        <v>48</v>
      </c>
      <c r="C152" s="22" t="s">
        <v>46</v>
      </c>
      <c r="D152" s="103">
        <f>D155+D154</f>
        <v>0</v>
      </c>
      <c r="E152" s="103">
        <f>E155+E154</f>
        <v>25000</v>
      </c>
      <c r="F152" s="26">
        <f>F155+F154</f>
        <v>25000</v>
      </c>
      <c r="G152" s="103">
        <f>G155+G154</f>
        <v>0</v>
      </c>
      <c r="H152" s="103">
        <f>H155+H154</f>
        <v>25000</v>
      </c>
      <c r="I152" s="26"/>
      <c r="J152" s="15">
        <f>J159</f>
        <v>0</v>
      </c>
      <c r="K152" s="15">
        <f>K159</f>
        <v>0</v>
      </c>
      <c r="L152" s="103">
        <f>L159</f>
        <v>0</v>
      </c>
      <c r="M152" s="46"/>
      <c r="Q152" s="103">
        <f>Q155+Q154</f>
        <v>25000</v>
      </c>
      <c r="R152" s="55">
        <f>H152+D152</f>
        <v>25000</v>
      </c>
    </row>
    <row r="153" spans="1:18" ht="33.75" customHeight="1">
      <c r="A153" s="22"/>
      <c r="B153" s="75" t="s">
        <v>200</v>
      </c>
      <c r="C153" s="22"/>
      <c r="D153" s="103"/>
      <c r="E153" s="103"/>
      <c r="F153" s="103"/>
      <c r="G153" s="103"/>
      <c r="H153" s="103"/>
      <c r="I153" s="26"/>
      <c r="J153" s="15"/>
      <c r="K153" s="15"/>
      <c r="L153" s="103"/>
      <c r="M153" s="46"/>
      <c r="Q153" s="103"/>
      <c r="R153" s="55"/>
    </row>
    <row r="154" spans="1:18" ht="54.75" customHeight="1">
      <c r="A154" s="24" t="s">
        <v>181</v>
      </c>
      <c r="B154" s="27" t="s">
        <v>225</v>
      </c>
      <c r="C154" s="24" t="s">
        <v>46</v>
      </c>
      <c r="D154" s="102"/>
      <c r="E154" s="102">
        <f>D154+H154</f>
        <v>25000</v>
      </c>
      <c r="F154" s="21">
        <v>25000</v>
      </c>
      <c r="G154" s="102">
        <f>F154-E154</f>
        <v>0</v>
      </c>
      <c r="H154" s="102">
        <v>25000</v>
      </c>
      <c r="I154" s="81" t="s">
        <v>19</v>
      </c>
      <c r="J154" s="15"/>
      <c r="K154" s="15"/>
      <c r="L154" s="103"/>
      <c r="M154" s="46"/>
      <c r="Q154" s="102">
        <v>25000</v>
      </c>
      <c r="R154" s="55"/>
    </row>
    <row r="155" spans="1:18" ht="76.5" customHeight="1" hidden="1">
      <c r="A155" s="24"/>
      <c r="B155" s="23"/>
      <c r="C155" s="24" t="s">
        <v>46</v>
      </c>
      <c r="D155" s="102"/>
      <c r="E155" s="102"/>
      <c r="F155" s="102"/>
      <c r="G155" s="102"/>
      <c r="H155" s="102"/>
      <c r="I155" s="21"/>
      <c r="J155" s="15"/>
      <c r="K155" s="15"/>
      <c r="L155" s="103"/>
      <c r="M155" s="46"/>
      <c r="Q155" s="102"/>
      <c r="R155" s="55"/>
    </row>
    <row r="156" spans="1:18" ht="55.5" customHeight="1">
      <c r="A156" s="24"/>
      <c r="B156" s="29" t="s">
        <v>67</v>
      </c>
      <c r="C156" s="22" t="s">
        <v>46</v>
      </c>
      <c r="D156" s="103">
        <f>D163</f>
        <v>0</v>
      </c>
      <c r="E156" s="103">
        <f>E163+E158+E159+E160+E161+E162+E164+E165+E166</f>
        <v>41673.7</v>
      </c>
      <c r="F156" s="103">
        <f>F163+F158+F159+F160+F161+F162+F164+F165+F166</f>
        <v>41673.7</v>
      </c>
      <c r="G156" s="103">
        <f>G163+G158+G159+G160+G161+G162+G164+G165+G166</f>
        <v>0</v>
      </c>
      <c r="H156" s="103">
        <f>H163+H158+H159+H160+H161+H162+H164+H165+H166</f>
        <v>41673.7</v>
      </c>
      <c r="I156" s="26"/>
      <c r="J156" s="15"/>
      <c r="K156" s="15"/>
      <c r="L156" s="103"/>
      <c r="M156" s="46"/>
      <c r="Q156" s="103">
        <f>Q163+Q158+Q159+Q160+Q161+Q162+Q164+Q165+Q166</f>
        <v>41673.7</v>
      </c>
      <c r="R156" s="55"/>
    </row>
    <row r="157" spans="1:18" ht="34.5" customHeight="1">
      <c r="A157" s="24"/>
      <c r="B157" s="75" t="s">
        <v>200</v>
      </c>
      <c r="C157" s="22"/>
      <c r="D157" s="103"/>
      <c r="E157" s="103"/>
      <c r="F157" s="103"/>
      <c r="G157" s="103"/>
      <c r="H157" s="103"/>
      <c r="I157" s="26"/>
      <c r="J157" s="15"/>
      <c r="K157" s="15"/>
      <c r="L157" s="103"/>
      <c r="M157" s="46"/>
      <c r="Q157" s="103"/>
      <c r="R157" s="55"/>
    </row>
    <row r="158" spans="1:18" ht="76.5" customHeight="1" hidden="1">
      <c r="A158" s="24"/>
      <c r="B158" s="27" t="s">
        <v>174</v>
      </c>
      <c r="C158" s="24" t="s">
        <v>46</v>
      </c>
      <c r="D158" s="103"/>
      <c r="E158" s="102">
        <f aca="true" t="shared" si="24" ref="E158:E166">D158+H158</f>
        <v>2212.9</v>
      </c>
      <c r="F158" s="102"/>
      <c r="G158" s="102">
        <f aca="true" t="shared" si="25" ref="G158:G166">F158-E158</f>
        <v>-2212.9</v>
      </c>
      <c r="H158" s="102">
        <v>2212.9</v>
      </c>
      <c r="I158" s="81" t="s">
        <v>173</v>
      </c>
      <c r="J158" s="15"/>
      <c r="K158" s="15"/>
      <c r="L158" s="103"/>
      <c r="M158" s="46"/>
      <c r="Q158" s="102"/>
      <c r="R158" s="55"/>
    </row>
    <row r="159" spans="1:18" ht="86.25" customHeight="1">
      <c r="A159" s="24" t="s">
        <v>182</v>
      </c>
      <c r="B159" s="27" t="s">
        <v>217</v>
      </c>
      <c r="C159" s="24" t="s">
        <v>46</v>
      </c>
      <c r="D159" s="103"/>
      <c r="E159" s="102">
        <f t="shared" si="24"/>
        <v>5072.9</v>
      </c>
      <c r="F159" s="102">
        <v>5072.9</v>
      </c>
      <c r="G159" s="102">
        <f t="shared" si="25"/>
        <v>0</v>
      </c>
      <c r="H159" s="102">
        <v>5072.9</v>
      </c>
      <c r="I159" s="81" t="s">
        <v>173</v>
      </c>
      <c r="J159" s="20"/>
      <c r="K159" s="20"/>
      <c r="L159" s="102"/>
      <c r="M159" s="50"/>
      <c r="Q159" s="102">
        <v>5072.9</v>
      </c>
      <c r="R159" s="55">
        <f>H159+D159</f>
        <v>5072.9</v>
      </c>
    </row>
    <row r="160" spans="1:18" ht="87" customHeight="1">
      <c r="A160" s="24" t="s">
        <v>183</v>
      </c>
      <c r="B160" s="27" t="s">
        <v>175</v>
      </c>
      <c r="C160" s="24" t="s">
        <v>46</v>
      </c>
      <c r="D160" s="103"/>
      <c r="E160" s="102">
        <f t="shared" si="24"/>
        <v>5072.9</v>
      </c>
      <c r="F160" s="102">
        <v>5072.9</v>
      </c>
      <c r="G160" s="102">
        <f t="shared" si="25"/>
        <v>0</v>
      </c>
      <c r="H160" s="102">
        <v>5072.9</v>
      </c>
      <c r="I160" s="81" t="s">
        <v>173</v>
      </c>
      <c r="J160" s="20"/>
      <c r="K160" s="20"/>
      <c r="L160" s="102"/>
      <c r="M160" s="50"/>
      <c r="Q160" s="102">
        <v>5072.9</v>
      </c>
      <c r="R160" s="55"/>
    </row>
    <row r="161" spans="1:18" ht="69" customHeight="1">
      <c r="A161" s="24" t="s">
        <v>184</v>
      </c>
      <c r="B161" s="27" t="s">
        <v>176</v>
      </c>
      <c r="C161" s="24" t="s">
        <v>46</v>
      </c>
      <c r="D161" s="103"/>
      <c r="E161" s="102">
        <f t="shared" si="24"/>
        <v>3575</v>
      </c>
      <c r="F161" s="102">
        <v>11082.5</v>
      </c>
      <c r="G161" s="102">
        <f t="shared" si="25"/>
        <v>7507.5</v>
      </c>
      <c r="H161" s="102">
        <v>3575</v>
      </c>
      <c r="I161" s="81" t="s">
        <v>173</v>
      </c>
      <c r="J161" s="20"/>
      <c r="K161" s="20"/>
      <c r="L161" s="102"/>
      <c r="M161" s="50"/>
      <c r="Q161" s="102">
        <v>11082.5</v>
      </c>
      <c r="R161" s="55"/>
    </row>
    <row r="162" spans="1:18" ht="69" customHeight="1">
      <c r="A162" s="24" t="s">
        <v>185</v>
      </c>
      <c r="B162" s="27" t="s">
        <v>177</v>
      </c>
      <c r="C162" s="24" t="s">
        <v>46</v>
      </c>
      <c r="D162" s="102"/>
      <c r="E162" s="102">
        <f t="shared" si="24"/>
        <v>3575</v>
      </c>
      <c r="F162" s="102">
        <v>11082.5</v>
      </c>
      <c r="G162" s="102">
        <f t="shared" si="25"/>
        <v>7507.5</v>
      </c>
      <c r="H162" s="102">
        <v>3575</v>
      </c>
      <c r="I162" s="81" t="s">
        <v>173</v>
      </c>
      <c r="J162" s="20"/>
      <c r="K162" s="20"/>
      <c r="L162" s="102"/>
      <c r="M162" s="50"/>
      <c r="Q162" s="102">
        <v>11082.5</v>
      </c>
      <c r="R162" s="55"/>
    </row>
    <row r="163" spans="1:18" ht="201" customHeight="1">
      <c r="A163" s="24" t="s">
        <v>186</v>
      </c>
      <c r="B163" s="27" t="s">
        <v>216</v>
      </c>
      <c r="C163" s="24" t="s">
        <v>46</v>
      </c>
      <c r="D163" s="102"/>
      <c r="E163" s="102">
        <f t="shared" si="24"/>
        <v>7150</v>
      </c>
      <c r="F163" s="102">
        <v>9362.9</v>
      </c>
      <c r="G163" s="102">
        <f t="shared" si="25"/>
        <v>2212.8999999999996</v>
      </c>
      <c r="H163" s="102">
        <v>7150</v>
      </c>
      <c r="I163" s="81" t="s">
        <v>173</v>
      </c>
      <c r="J163" s="20"/>
      <c r="K163" s="20"/>
      <c r="L163" s="102"/>
      <c r="M163" s="50"/>
      <c r="Q163" s="102">
        <v>9362.9</v>
      </c>
      <c r="R163" s="55"/>
    </row>
    <row r="164" spans="1:18" ht="69" customHeight="1" hidden="1">
      <c r="A164" s="24"/>
      <c r="B164" s="27" t="s">
        <v>178</v>
      </c>
      <c r="C164" s="24" t="s">
        <v>46</v>
      </c>
      <c r="D164" s="102"/>
      <c r="E164" s="102">
        <f t="shared" si="24"/>
        <v>2502.5</v>
      </c>
      <c r="F164" s="102"/>
      <c r="G164" s="102">
        <f t="shared" si="25"/>
        <v>-2502.5</v>
      </c>
      <c r="H164" s="102">
        <v>2502.5</v>
      </c>
      <c r="I164" s="81" t="s">
        <v>173</v>
      </c>
      <c r="J164" s="20"/>
      <c r="K164" s="20"/>
      <c r="L164" s="102"/>
      <c r="M164" s="50"/>
      <c r="Q164" s="102"/>
      <c r="R164" s="55"/>
    </row>
    <row r="165" spans="1:18" ht="69" customHeight="1" hidden="1">
      <c r="A165" s="24" t="s">
        <v>187</v>
      </c>
      <c r="B165" s="27" t="s">
        <v>179</v>
      </c>
      <c r="C165" s="24" t="s">
        <v>46</v>
      </c>
      <c r="D165" s="102"/>
      <c r="E165" s="102">
        <f t="shared" si="24"/>
        <v>5362.5</v>
      </c>
      <c r="F165" s="102"/>
      <c r="G165" s="102">
        <f t="shared" si="25"/>
        <v>-5362.5</v>
      </c>
      <c r="H165" s="102">
        <v>5362.5</v>
      </c>
      <c r="I165" s="81" t="s">
        <v>173</v>
      </c>
      <c r="J165" s="20"/>
      <c r="K165" s="20"/>
      <c r="L165" s="102"/>
      <c r="M165" s="50"/>
      <c r="Q165" s="102"/>
      <c r="R165" s="55"/>
    </row>
    <row r="166" spans="1:18" ht="69" customHeight="1" hidden="1">
      <c r="A166" s="24" t="s">
        <v>85</v>
      </c>
      <c r="B166" s="27" t="s">
        <v>180</v>
      </c>
      <c r="C166" s="24" t="s">
        <v>46</v>
      </c>
      <c r="D166" s="102"/>
      <c r="E166" s="102">
        <f t="shared" si="24"/>
        <v>7150</v>
      </c>
      <c r="F166" s="102"/>
      <c r="G166" s="102">
        <f t="shared" si="25"/>
        <v>-7150</v>
      </c>
      <c r="H166" s="102">
        <v>7150</v>
      </c>
      <c r="I166" s="81" t="s">
        <v>173</v>
      </c>
      <c r="J166" s="20"/>
      <c r="K166" s="20"/>
      <c r="L166" s="102"/>
      <c r="M166" s="50"/>
      <c r="Q166" s="102"/>
      <c r="R166" s="55"/>
    </row>
    <row r="167" spans="1:18" s="5" customFormat="1" ht="27.75" customHeight="1">
      <c r="A167" s="22" t="s">
        <v>84</v>
      </c>
      <c r="B167" s="25" t="s">
        <v>112</v>
      </c>
      <c r="C167" s="22" t="s">
        <v>113</v>
      </c>
      <c r="D167" s="103">
        <f aca="true" t="shared" si="26" ref="D167:L169">D168</f>
        <v>0</v>
      </c>
      <c r="E167" s="103">
        <f t="shared" si="26"/>
        <v>0</v>
      </c>
      <c r="F167" s="103">
        <f t="shared" si="26"/>
        <v>2597.4</v>
      </c>
      <c r="G167" s="103">
        <f t="shared" si="26"/>
        <v>2597.4</v>
      </c>
      <c r="H167" s="103">
        <f t="shared" si="26"/>
        <v>0</v>
      </c>
      <c r="I167" s="103"/>
      <c r="J167" s="15">
        <f t="shared" si="26"/>
        <v>0</v>
      </c>
      <c r="K167" s="15">
        <f t="shared" si="26"/>
        <v>0</v>
      </c>
      <c r="L167" s="103">
        <f t="shared" si="26"/>
        <v>0</v>
      </c>
      <c r="M167" s="31"/>
      <c r="Q167" s="103">
        <f>Q168</f>
        <v>7151</v>
      </c>
      <c r="R167" s="55">
        <f>H167+D167</f>
        <v>0</v>
      </c>
    </row>
    <row r="168" spans="1:18" s="5" customFormat="1" ht="46.5" customHeight="1">
      <c r="A168" s="22"/>
      <c r="B168" s="29" t="s">
        <v>115</v>
      </c>
      <c r="C168" s="22" t="s">
        <v>113</v>
      </c>
      <c r="D168" s="103">
        <f t="shared" si="26"/>
        <v>0</v>
      </c>
      <c r="E168" s="103">
        <f t="shared" si="26"/>
        <v>0</v>
      </c>
      <c r="F168" s="103">
        <f t="shared" si="26"/>
        <v>2597.4</v>
      </c>
      <c r="G168" s="103">
        <f t="shared" si="26"/>
        <v>2597.4</v>
      </c>
      <c r="H168" s="103">
        <f t="shared" si="26"/>
        <v>0</v>
      </c>
      <c r="I168" s="103"/>
      <c r="J168" s="15">
        <f t="shared" si="26"/>
        <v>0</v>
      </c>
      <c r="K168" s="15">
        <f t="shared" si="26"/>
        <v>0</v>
      </c>
      <c r="L168" s="103">
        <f t="shared" si="26"/>
        <v>0</v>
      </c>
      <c r="M168" s="31"/>
      <c r="Q168" s="103">
        <f>Q169</f>
        <v>7151</v>
      </c>
      <c r="R168" s="55">
        <f>H168+D168</f>
        <v>0</v>
      </c>
    </row>
    <row r="169" spans="1:18" s="5" customFormat="1" ht="50.25" customHeight="1">
      <c r="A169" s="24"/>
      <c r="B169" s="29" t="s">
        <v>116</v>
      </c>
      <c r="C169" s="22" t="s">
        <v>113</v>
      </c>
      <c r="D169" s="103">
        <f t="shared" si="26"/>
        <v>0</v>
      </c>
      <c r="E169" s="103">
        <f t="shared" si="26"/>
        <v>0</v>
      </c>
      <c r="F169" s="103">
        <f t="shared" si="26"/>
        <v>2597.4</v>
      </c>
      <c r="G169" s="103">
        <f t="shared" si="26"/>
        <v>2597.4</v>
      </c>
      <c r="H169" s="103">
        <f t="shared" si="26"/>
        <v>0</v>
      </c>
      <c r="I169" s="103"/>
      <c r="J169" s="15">
        <f t="shared" si="26"/>
        <v>0</v>
      </c>
      <c r="K169" s="15">
        <f t="shared" si="26"/>
        <v>0</v>
      </c>
      <c r="L169" s="103">
        <f t="shared" si="26"/>
        <v>0</v>
      </c>
      <c r="M169" s="31"/>
      <c r="Q169" s="103">
        <f>Q170</f>
        <v>7151</v>
      </c>
      <c r="R169" s="55">
        <f>H169+D169</f>
        <v>0</v>
      </c>
    </row>
    <row r="170" spans="1:18" s="5" customFormat="1" ht="105.75" customHeight="1">
      <c r="A170" s="24"/>
      <c r="B170" s="29" t="s">
        <v>206</v>
      </c>
      <c r="C170" s="22" t="s">
        <v>113</v>
      </c>
      <c r="D170" s="103">
        <f>SUM(D172:D173)</f>
        <v>0</v>
      </c>
      <c r="E170" s="103">
        <f>SUM(E172:E173)</f>
        <v>0</v>
      </c>
      <c r="F170" s="103">
        <f>SUM(F172:F173)</f>
        <v>2597.4</v>
      </c>
      <c r="G170" s="103">
        <f>SUM(G172:G173)</f>
        <v>2597.4</v>
      </c>
      <c r="H170" s="103">
        <f>SUM(H172:H173)</f>
        <v>0</v>
      </c>
      <c r="I170" s="103"/>
      <c r="J170" s="15">
        <f>SUM(J172:J173)</f>
        <v>0</v>
      </c>
      <c r="K170" s="15">
        <f>SUM(K172:K173)</f>
        <v>0</v>
      </c>
      <c r="L170" s="103">
        <f>SUM(L172:L173)</f>
        <v>0</v>
      </c>
      <c r="M170" s="103"/>
      <c r="Q170" s="103">
        <f>SUM(Q172:Q173)</f>
        <v>7151</v>
      </c>
      <c r="R170" s="55">
        <f>H170+D170</f>
        <v>0</v>
      </c>
    </row>
    <row r="171" spans="1:18" s="5" customFormat="1" ht="39" customHeight="1">
      <c r="A171" s="24"/>
      <c r="B171" s="75" t="s">
        <v>200</v>
      </c>
      <c r="C171" s="22"/>
      <c r="D171" s="36"/>
      <c r="E171" s="36"/>
      <c r="F171" s="36"/>
      <c r="G171" s="36"/>
      <c r="H171" s="36"/>
      <c r="I171" s="36"/>
      <c r="J171" s="37"/>
      <c r="K171" s="37"/>
      <c r="L171" s="36"/>
      <c r="M171" s="36"/>
      <c r="Q171" s="36"/>
      <c r="R171" s="55"/>
    </row>
    <row r="172" spans="1:18" s="5" customFormat="1" ht="79.5" customHeight="1">
      <c r="A172" s="32">
        <v>12</v>
      </c>
      <c r="B172" s="27" t="s">
        <v>207</v>
      </c>
      <c r="C172" s="24" t="s">
        <v>114</v>
      </c>
      <c r="D172" s="92"/>
      <c r="E172" s="92"/>
      <c r="F172" s="92">
        <v>2597.4</v>
      </c>
      <c r="G172" s="102">
        <f>F172-E172</f>
        <v>2597.4</v>
      </c>
      <c r="H172" s="92"/>
      <c r="I172" s="81" t="s">
        <v>214</v>
      </c>
      <c r="J172" s="33"/>
      <c r="K172" s="33"/>
      <c r="L172" s="92"/>
      <c r="M172" s="35"/>
      <c r="Q172" s="92">
        <v>2597.4</v>
      </c>
      <c r="R172" s="55">
        <f aca="true" t="shared" si="27" ref="R172:R235">H172+D172</f>
        <v>0</v>
      </c>
    </row>
    <row r="173" spans="1:18" s="5" customFormat="1" ht="89.25" customHeight="1" hidden="1">
      <c r="A173" s="32">
        <v>13</v>
      </c>
      <c r="B173" s="27" t="s">
        <v>208</v>
      </c>
      <c r="C173" s="24" t="s">
        <v>205</v>
      </c>
      <c r="D173" s="92"/>
      <c r="E173" s="92"/>
      <c r="F173" s="92"/>
      <c r="G173" s="102">
        <f>F173-E173</f>
        <v>0</v>
      </c>
      <c r="H173" s="92"/>
      <c r="I173" s="81" t="s">
        <v>214</v>
      </c>
      <c r="J173" s="33"/>
      <c r="K173" s="33"/>
      <c r="L173" s="93"/>
      <c r="M173" s="34"/>
      <c r="Q173" s="92">
        <v>4553.6</v>
      </c>
      <c r="R173" s="55">
        <f t="shared" si="27"/>
        <v>0</v>
      </c>
    </row>
    <row r="174" spans="1:18" ht="27.75" customHeight="1">
      <c r="A174" s="22" t="s">
        <v>49</v>
      </c>
      <c r="B174" s="25" t="s">
        <v>14</v>
      </c>
      <c r="C174" s="22" t="s">
        <v>24</v>
      </c>
      <c r="D174" s="103">
        <f aca="true" t="shared" si="28" ref="D174:H175">D175</f>
        <v>0</v>
      </c>
      <c r="E174" s="103">
        <f t="shared" si="28"/>
        <v>3135077.5</v>
      </c>
      <c r="F174" s="103">
        <f>F175</f>
        <v>3174474.1</v>
      </c>
      <c r="G174" s="103">
        <f>G175</f>
        <v>0.10000000000582077</v>
      </c>
      <c r="H174" s="103">
        <f t="shared" si="28"/>
        <v>3135077.5</v>
      </c>
      <c r="I174" s="103"/>
      <c r="J174" s="15" t="e">
        <f>#REF!+#REF!</f>
        <v>#REF!</v>
      </c>
      <c r="K174" s="15" t="e">
        <f>#REF!+#REF!</f>
        <v>#REF!</v>
      </c>
      <c r="L174" s="103" t="e">
        <f>#REF!+#REF!</f>
        <v>#REF!</v>
      </c>
      <c r="M174" s="46"/>
      <c r="N174" s="6" t="e">
        <f>SUM(#REF!)</f>
        <v>#REF!</v>
      </c>
      <c r="O174" s="55"/>
      <c r="Q174" s="103">
        <f>Q175</f>
        <v>3135077.6</v>
      </c>
      <c r="R174" s="55">
        <f t="shared" si="27"/>
        <v>3135077.5</v>
      </c>
    </row>
    <row r="175" spans="1:18" ht="24.75" customHeight="1">
      <c r="A175" s="22"/>
      <c r="B175" s="29" t="s">
        <v>31</v>
      </c>
      <c r="C175" s="22" t="s">
        <v>17</v>
      </c>
      <c r="D175" s="103">
        <f t="shared" si="28"/>
        <v>0</v>
      </c>
      <c r="E175" s="103">
        <f t="shared" si="28"/>
        <v>3135077.5</v>
      </c>
      <c r="F175" s="103">
        <f>F176</f>
        <v>3174474.1</v>
      </c>
      <c r="G175" s="103">
        <f>G176</f>
        <v>0.10000000000582077</v>
      </c>
      <c r="H175" s="103">
        <f t="shared" si="28"/>
        <v>3135077.5</v>
      </c>
      <c r="I175" s="103"/>
      <c r="J175" s="15" t="e">
        <f>J176</f>
        <v>#REF!</v>
      </c>
      <c r="K175" s="15" t="e">
        <f>K176</f>
        <v>#REF!</v>
      </c>
      <c r="L175" s="103" t="e">
        <f>L176</f>
        <v>#REF!</v>
      </c>
      <c r="M175" s="46"/>
      <c r="Q175" s="103">
        <f>Q176</f>
        <v>3135077.6</v>
      </c>
      <c r="R175" s="55">
        <f t="shared" si="27"/>
        <v>3135077.5</v>
      </c>
    </row>
    <row r="176" spans="1:18" ht="54" customHeight="1">
      <c r="A176" s="24"/>
      <c r="B176" s="29" t="s">
        <v>15</v>
      </c>
      <c r="C176" s="22" t="s">
        <v>17</v>
      </c>
      <c r="D176" s="103">
        <f>D252+D177</f>
        <v>0</v>
      </c>
      <c r="E176" s="103">
        <f>E252+E177</f>
        <v>3135077.5</v>
      </c>
      <c r="F176" s="103">
        <f>F252+F177</f>
        <v>3174474.1</v>
      </c>
      <c r="G176" s="103">
        <f>G252+G177</f>
        <v>0.10000000000582077</v>
      </c>
      <c r="H176" s="103">
        <f>H252+H177</f>
        <v>3135077.5</v>
      </c>
      <c r="I176" s="103"/>
      <c r="J176" s="15" t="e">
        <f>J252+J177</f>
        <v>#REF!</v>
      </c>
      <c r="K176" s="15" t="e">
        <f>K252+K177</f>
        <v>#REF!</v>
      </c>
      <c r="L176" s="103" t="e">
        <f>L252+L177</f>
        <v>#REF!</v>
      </c>
      <c r="M176" s="46"/>
      <c r="Q176" s="103">
        <f>Q252+Q177</f>
        <v>3135077.6</v>
      </c>
      <c r="R176" s="55">
        <f t="shared" si="27"/>
        <v>3135077.5</v>
      </c>
    </row>
    <row r="177" spans="1:18" ht="33" customHeight="1">
      <c r="A177" s="24"/>
      <c r="B177" s="29" t="s">
        <v>227</v>
      </c>
      <c r="C177" s="22" t="s">
        <v>17</v>
      </c>
      <c r="D177" s="103">
        <f>D178+D179</f>
        <v>0</v>
      </c>
      <c r="E177" s="103">
        <f>E178+E179</f>
        <v>1056818.5</v>
      </c>
      <c r="F177" s="103">
        <f>F178+F179</f>
        <v>1056818.6</v>
      </c>
      <c r="G177" s="103">
        <f>G178+G179</f>
        <v>0.10000000000582077</v>
      </c>
      <c r="H177" s="103">
        <f>H178+H179</f>
        <v>1056818.5</v>
      </c>
      <c r="I177" s="103"/>
      <c r="J177" s="15" t="e">
        <f>#REF!+#REF!+J184+J188+J192+J196+J200+J204+J208</f>
        <v>#REF!</v>
      </c>
      <c r="K177" s="15" t="e">
        <f>#REF!+#REF!+K184+K188+K192+K196+K200+K204+K208</f>
        <v>#REF!</v>
      </c>
      <c r="L177" s="103" t="e">
        <f>#REF!+#REF!+L184+L188+L192+L196+L200+L204+L208</f>
        <v>#REF!</v>
      </c>
      <c r="M177" s="46"/>
      <c r="Q177" s="103">
        <f>Q178+Q179</f>
        <v>1056818.6</v>
      </c>
      <c r="R177" s="55">
        <f t="shared" si="27"/>
        <v>1056818.5</v>
      </c>
    </row>
    <row r="178" spans="1:18" ht="27.75" customHeight="1">
      <c r="A178" s="24"/>
      <c r="B178" s="25" t="s">
        <v>21</v>
      </c>
      <c r="C178" s="22" t="s">
        <v>17</v>
      </c>
      <c r="D178" s="103">
        <f aca="true" t="shared" si="29" ref="D178:H179">D182+D214</f>
        <v>0</v>
      </c>
      <c r="E178" s="103">
        <f t="shared" si="29"/>
        <v>611067.8</v>
      </c>
      <c r="F178" s="103">
        <f>F182+F214</f>
        <v>611067.9</v>
      </c>
      <c r="G178" s="103">
        <f>G182+G214</f>
        <v>0.10000000000582077</v>
      </c>
      <c r="H178" s="103">
        <f t="shared" si="29"/>
        <v>611067.8</v>
      </c>
      <c r="I178" s="103"/>
      <c r="J178" s="103">
        <f aca="true" t="shared" si="30" ref="J178:L179">J186+J190+J194+J198+J202+J206+J210</f>
        <v>701408.0800000001</v>
      </c>
      <c r="K178" s="103">
        <f t="shared" si="30"/>
        <v>701408.0800000001</v>
      </c>
      <c r="L178" s="103">
        <f t="shared" si="30"/>
        <v>477473</v>
      </c>
      <c r="M178" s="46"/>
      <c r="Q178" s="103">
        <f>Q182+Q214</f>
        <v>611067.9</v>
      </c>
      <c r="R178" s="55">
        <f t="shared" si="27"/>
        <v>611067.8</v>
      </c>
    </row>
    <row r="179" spans="1:18" ht="33.75" customHeight="1">
      <c r="A179" s="24"/>
      <c r="B179" s="87" t="s">
        <v>22</v>
      </c>
      <c r="C179" s="22" t="s">
        <v>17</v>
      </c>
      <c r="D179" s="103">
        <f t="shared" si="29"/>
        <v>0</v>
      </c>
      <c r="E179" s="103">
        <f t="shared" si="29"/>
        <v>445750.7</v>
      </c>
      <c r="F179" s="103">
        <f>F183+F215</f>
        <v>445750.7</v>
      </c>
      <c r="G179" s="103">
        <f>G183+G215</f>
        <v>0</v>
      </c>
      <c r="H179" s="103">
        <f t="shared" si="29"/>
        <v>445750.7</v>
      </c>
      <c r="I179" s="103"/>
      <c r="J179" s="103">
        <f t="shared" si="30"/>
        <v>86892.11</v>
      </c>
      <c r="K179" s="103">
        <f t="shared" si="30"/>
        <v>86892.11</v>
      </c>
      <c r="L179" s="103">
        <f t="shared" si="30"/>
        <v>294083</v>
      </c>
      <c r="M179" s="46"/>
      <c r="Q179" s="103">
        <f>Q183+Q215</f>
        <v>445750.7</v>
      </c>
      <c r="R179" s="55">
        <f t="shared" si="27"/>
        <v>445750.7</v>
      </c>
    </row>
    <row r="180" spans="1:18" ht="126" customHeight="1">
      <c r="A180" s="24"/>
      <c r="B180" s="29" t="s">
        <v>153</v>
      </c>
      <c r="C180" s="22" t="s">
        <v>17</v>
      </c>
      <c r="D180" s="103">
        <f>D182+D183</f>
        <v>0</v>
      </c>
      <c r="E180" s="103">
        <f>E182+E183</f>
        <v>891412.8</v>
      </c>
      <c r="F180" s="103">
        <f>F182+F183</f>
        <v>891412.9</v>
      </c>
      <c r="G180" s="103">
        <f>G182+G183</f>
        <v>0.10000000000582077</v>
      </c>
      <c r="H180" s="103">
        <f>H182+H183</f>
        <v>891412.8</v>
      </c>
      <c r="I180" s="103"/>
      <c r="J180" s="103"/>
      <c r="K180" s="103"/>
      <c r="L180" s="103"/>
      <c r="M180" s="46"/>
      <c r="Q180" s="103">
        <f>Q182+Q183</f>
        <v>891412.9</v>
      </c>
      <c r="R180" s="55">
        <f t="shared" si="27"/>
        <v>891412.8</v>
      </c>
    </row>
    <row r="181" spans="1:18" ht="33.75" customHeight="1">
      <c r="A181" s="24"/>
      <c r="B181" s="78" t="s">
        <v>20</v>
      </c>
      <c r="C181" s="22"/>
      <c r="D181" s="103"/>
      <c r="E181" s="103"/>
      <c r="F181" s="103"/>
      <c r="G181" s="103"/>
      <c r="H181" s="103"/>
      <c r="I181" s="103"/>
      <c r="J181" s="103"/>
      <c r="K181" s="103"/>
      <c r="L181" s="103"/>
      <c r="M181" s="46"/>
      <c r="Q181" s="103"/>
      <c r="R181" s="55">
        <f t="shared" si="27"/>
        <v>0</v>
      </c>
    </row>
    <row r="182" spans="1:18" ht="33.75" customHeight="1">
      <c r="A182" s="24"/>
      <c r="B182" s="79" t="s">
        <v>21</v>
      </c>
      <c r="C182" s="22" t="s">
        <v>17</v>
      </c>
      <c r="D182" s="103">
        <f aca="true" t="shared" si="31" ref="D182:H183">D186+D190+D194+D198+D202+D210+D206</f>
        <v>0</v>
      </c>
      <c r="E182" s="103">
        <f t="shared" si="31"/>
        <v>470472.9</v>
      </c>
      <c r="F182" s="26">
        <f>F186+F190+F194+F198+F202+F210+F206</f>
        <v>470473</v>
      </c>
      <c r="G182" s="103">
        <f>G186+G190+G194+G198+G202+G210+G206</f>
        <v>0.10000000000582077</v>
      </c>
      <c r="H182" s="103">
        <f t="shared" si="31"/>
        <v>470472.9</v>
      </c>
      <c r="I182" s="103"/>
      <c r="J182" s="103"/>
      <c r="K182" s="103"/>
      <c r="L182" s="103"/>
      <c r="M182" s="46"/>
      <c r="Q182" s="103">
        <f>Q186+Q190+Q194+Q198+Q202+Q210+Q206</f>
        <v>470473</v>
      </c>
      <c r="R182" s="55">
        <f t="shared" si="27"/>
        <v>470472.9</v>
      </c>
    </row>
    <row r="183" spans="1:18" ht="33.75" customHeight="1">
      <c r="A183" s="24"/>
      <c r="B183" s="78" t="s">
        <v>22</v>
      </c>
      <c r="C183" s="22" t="s">
        <v>17</v>
      </c>
      <c r="D183" s="103">
        <f t="shared" si="31"/>
        <v>0</v>
      </c>
      <c r="E183" s="103">
        <f t="shared" si="31"/>
        <v>420939.9</v>
      </c>
      <c r="F183" s="103">
        <f>F187+F191+F195+F199+F203+F211+F207</f>
        <v>420939.9</v>
      </c>
      <c r="G183" s="103">
        <f>G187+G191+G195+G199+G203+G211+G207</f>
        <v>0</v>
      </c>
      <c r="H183" s="103">
        <f t="shared" si="31"/>
        <v>420939.9</v>
      </c>
      <c r="I183" s="103"/>
      <c r="J183" s="103"/>
      <c r="K183" s="103"/>
      <c r="L183" s="103"/>
      <c r="M183" s="46"/>
      <c r="Q183" s="103">
        <f>Q187+Q191+Q195+Q199+Q203+Q211+Q207</f>
        <v>420939.9</v>
      </c>
      <c r="R183" s="55">
        <f t="shared" si="27"/>
        <v>420939.9</v>
      </c>
    </row>
    <row r="184" spans="1:18" ht="78.75" customHeight="1">
      <c r="A184" s="32">
        <v>13</v>
      </c>
      <c r="B184" s="27" t="s">
        <v>165</v>
      </c>
      <c r="C184" s="24" t="s">
        <v>17</v>
      </c>
      <c r="D184" s="102">
        <f>D186+D187</f>
        <v>0</v>
      </c>
      <c r="E184" s="102">
        <f>E186+E187</f>
        <v>128442.6</v>
      </c>
      <c r="F184" s="102">
        <f>F186+F187</f>
        <v>128442.6</v>
      </c>
      <c r="G184" s="102">
        <f>G186+G187</f>
        <v>0</v>
      </c>
      <c r="H184" s="102">
        <f>H186+H187</f>
        <v>128442.6</v>
      </c>
      <c r="I184" s="81" t="s">
        <v>100</v>
      </c>
      <c r="J184" s="20">
        <f>J186+J187</f>
        <v>0</v>
      </c>
      <c r="K184" s="20">
        <f>K186+K187</f>
        <v>0</v>
      </c>
      <c r="L184" s="102">
        <f>L186+L187</f>
        <v>127382.4</v>
      </c>
      <c r="M184" s="50"/>
      <c r="Q184" s="102">
        <f>Q186+Q187</f>
        <v>128442.6</v>
      </c>
      <c r="R184" s="55">
        <f t="shared" si="27"/>
        <v>128442.6</v>
      </c>
    </row>
    <row r="185" spans="1:18" ht="21.75" customHeight="1">
      <c r="A185" s="32"/>
      <c r="B185" s="75" t="s">
        <v>20</v>
      </c>
      <c r="C185" s="24"/>
      <c r="D185" s="102"/>
      <c r="E185" s="102"/>
      <c r="F185" s="102"/>
      <c r="G185" s="102"/>
      <c r="H185" s="102"/>
      <c r="I185" s="20"/>
      <c r="J185" s="20"/>
      <c r="K185" s="20"/>
      <c r="L185" s="20"/>
      <c r="M185" s="48"/>
      <c r="Q185" s="102"/>
      <c r="R185" s="55">
        <f t="shared" si="27"/>
        <v>0</v>
      </c>
    </row>
    <row r="186" spans="1:18" ht="27" customHeight="1">
      <c r="A186" s="32"/>
      <c r="B186" s="76" t="s">
        <v>21</v>
      </c>
      <c r="C186" s="24"/>
      <c r="D186" s="102"/>
      <c r="E186" s="102">
        <f>D186+H186</f>
        <v>70014.7</v>
      </c>
      <c r="F186" s="102">
        <v>70014.7</v>
      </c>
      <c r="G186" s="102">
        <f>F186-E186</f>
        <v>0</v>
      </c>
      <c r="H186" s="102">
        <v>70014.7</v>
      </c>
      <c r="I186" s="102"/>
      <c r="J186" s="20"/>
      <c r="K186" s="20"/>
      <c r="L186" s="102">
        <v>70014.7</v>
      </c>
      <c r="M186" s="50"/>
      <c r="Q186" s="102">
        <v>70014.7</v>
      </c>
      <c r="R186" s="55">
        <f t="shared" si="27"/>
        <v>70014.7</v>
      </c>
    </row>
    <row r="187" spans="1:18" ht="27" customHeight="1">
      <c r="A187" s="32"/>
      <c r="B187" s="75" t="s">
        <v>22</v>
      </c>
      <c r="C187" s="24"/>
      <c r="D187" s="102"/>
      <c r="E187" s="102">
        <f>D187+H187</f>
        <v>58427.9</v>
      </c>
      <c r="F187" s="102">
        <v>58427.9</v>
      </c>
      <c r="G187" s="102">
        <f>F187-E187</f>
        <v>0</v>
      </c>
      <c r="H187" s="102">
        <v>58427.9</v>
      </c>
      <c r="I187" s="102"/>
      <c r="J187" s="20"/>
      <c r="K187" s="20"/>
      <c r="L187" s="102">
        <v>57367.7</v>
      </c>
      <c r="M187" s="50"/>
      <c r="Q187" s="102">
        <v>58427.9</v>
      </c>
      <c r="R187" s="55">
        <f t="shared" si="27"/>
        <v>58427.9</v>
      </c>
    </row>
    <row r="188" spans="1:18" ht="54" customHeight="1">
      <c r="A188" s="32">
        <v>14</v>
      </c>
      <c r="B188" s="27" t="s">
        <v>72</v>
      </c>
      <c r="C188" s="24" t="s">
        <v>17</v>
      </c>
      <c r="D188" s="102">
        <f>SUM(D190:D191)</f>
        <v>0</v>
      </c>
      <c r="E188" s="102">
        <f>SUM(E190:E191)</f>
        <v>174630.5</v>
      </c>
      <c r="F188" s="102">
        <f>SUM(F190:F191)</f>
        <v>174630.59999999998</v>
      </c>
      <c r="G188" s="102">
        <f>SUM(G190:G191)</f>
        <v>0.10000000000582077</v>
      </c>
      <c r="H188" s="102">
        <f>SUM(H190:H191)</f>
        <v>174630.5</v>
      </c>
      <c r="I188" s="81" t="s">
        <v>19</v>
      </c>
      <c r="J188" s="20">
        <f>SUM(J190:J191)</f>
        <v>162061.57</v>
      </c>
      <c r="K188" s="20">
        <f>SUM(K190:K191)</f>
        <v>162061.57</v>
      </c>
      <c r="L188" s="102">
        <f>SUM(L190:L191)</f>
        <v>136112</v>
      </c>
      <c r="M188" s="50"/>
      <c r="Q188" s="102">
        <f>SUM(Q190:Q191)</f>
        <v>174630.59999999998</v>
      </c>
      <c r="R188" s="55">
        <f t="shared" si="27"/>
        <v>174630.5</v>
      </c>
    </row>
    <row r="189" spans="1:18" ht="24.75" customHeight="1">
      <c r="A189" s="32"/>
      <c r="B189" s="75" t="s">
        <v>20</v>
      </c>
      <c r="C189" s="24"/>
      <c r="D189" s="102"/>
      <c r="E189" s="102"/>
      <c r="F189" s="102"/>
      <c r="G189" s="102"/>
      <c r="H189" s="102"/>
      <c r="I189" s="20"/>
      <c r="J189" s="20"/>
      <c r="K189" s="20"/>
      <c r="L189" s="20"/>
      <c r="M189" s="48"/>
      <c r="Q189" s="102"/>
      <c r="R189" s="55">
        <f t="shared" si="27"/>
        <v>0</v>
      </c>
    </row>
    <row r="190" spans="1:18" ht="24.75" customHeight="1">
      <c r="A190" s="32"/>
      <c r="B190" s="76" t="s">
        <v>21</v>
      </c>
      <c r="C190" s="24"/>
      <c r="D190" s="102"/>
      <c r="E190" s="102">
        <f>D190+H190</f>
        <v>70014.59999999999</v>
      </c>
      <c r="F190" s="102">
        <f>70014.7</f>
        <v>70014.7</v>
      </c>
      <c r="G190" s="102">
        <f>F190-E190</f>
        <v>0.10000000000582077</v>
      </c>
      <c r="H190" s="102">
        <f>70014.7-0.1</f>
        <v>70014.59999999999</v>
      </c>
      <c r="I190" s="102"/>
      <c r="J190" s="20">
        <v>144197.97</v>
      </c>
      <c r="K190" s="20">
        <v>144197.97</v>
      </c>
      <c r="L190" s="102">
        <v>70014.7</v>
      </c>
      <c r="M190" s="50"/>
      <c r="Q190" s="102">
        <f>70014.7</f>
        <v>70014.7</v>
      </c>
      <c r="R190" s="55">
        <f t="shared" si="27"/>
        <v>70014.59999999999</v>
      </c>
    </row>
    <row r="191" spans="1:18" ht="24.75" customHeight="1">
      <c r="A191" s="32"/>
      <c r="B191" s="75" t="s">
        <v>22</v>
      </c>
      <c r="C191" s="24"/>
      <c r="D191" s="102"/>
      <c r="E191" s="102">
        <f>D191+H191</f>
        <v>104615.9</v>
      </c>
      <c r="F191" s="102">
        <f>69785+34830.9</f>
        <v>104615.9</v>
      </c>
      <c r="G191" s="102">
        <f>F191-E191</f>
        <v>0</v>
      </c>
      <c r="H191" s="102">
        <f>69785+34830.9</f>
        <v>104615.9</v>
      </c>
      <c r="I191" s="102"/>
      <c r="J191" s="20">
        <v>17863.6</v>
      </c>
      <c r="K191" s="20">
        <v>17863.6</v>
      </c>
      <c r="L191" s="102">
        <v>66097.3</v>
      </c>
      <c r="M191" s="50"/>
      <c r="Q191" s="102">
        <f>69785+34830.9</f>
        <v>104615.9</v>
      </c>
      <c r="R191" s="55">
        <f t="shared" si="27"/>
        <v>104615.9</v>
      </c>
    </row>
    <row r="192" spans="1:18" ht="54" customHeight="1">
      <c r="A192" s="32">
        <v>15</v>
      </c>
      <c r="B192" s="27" t="s">
        <v>73</v>
      </c>
      <c r="C192" s="24" t="s">
        <v>17</v>
      </c>
      <c r="D192" s="102">
        <f>SUM(D194:D195)</f>
        <v>0</v>
      </c>
      <c r="E192" s="102">
        <f>SUM(E194:E195)</f>
        <v>157774.2</v>
      </c>
      <c r="F192" s="102">
        <f>SUM(F194:F195)</f>
        <v>157774.2</v>
      </c>
      <c r="G192" s="102">
        <f>SUM(G194:G195)</f>
        <v>0</v>
      </c>
      <c r="H192" s="102">
        <f>SUM(H194:H195)</f>
        <v>157774.2</v>
      </c>
      <c r="I192" s="81" t="s">
        <v>19</v>
      </c>
      <c r="J192" s="20">
        <f>SUM(J194:J195)</f>
        <v>158141.43000000002</v>
      </c>
      <c r="K192" s="20">
        <f>SUM(K194:K195)</f>
        <v>158141.43000000002</v>
      </c>
      <c r="L192" s="102">
        <f>SUM(L194:L195)</f>
        <v>137147.1</v>
      </c>
      <c r="M192" s="50"/>
      <c r="Q192" s="102">
        <f>SUM(Q194:Q195)</f>
        <v>157774.2</v>
      </c>
      <c r="R192" s="55">
        <f t="shared" si="27"/>
        <v>157774.2</v>
      </c>
    </row>
    <row r="193" spans="1:18" ht="27" customHeight="1">
      <c r="A193" s="32"/>
      <c r="B193" s="75" t="s">
        <v>20</v>
      </c>
      <c r="C193" s="24"/>
      <c r="D193" s="102"/>
      <c r="E193" s="102"/>
      <c r="F193" s="102"/>
      <c r="G193" s="102"/>
      <c r="H193" s="102"/>
      <c r="I193" s="20"/>
      <c r="J193" s="20"/>
      <c r="K193" s="20"/>
      <c r="L193" s="20"/>
      <c r="M193" s="48"/>
      <c r="Q193" s="102"/>
      <c r="R193" s="55">
        <f t="shared" si="27"/>
        <v>0</v>
      </c>
    </row>
    <row r="194" spans="1:18" ht="27" customHeight="1">
      <c r="A194" s="32"/>
      <c r="B194" s="76" t="s">
        <v>21</v>
      </c>
      <c r="C194" s="24"/>
      <c r="D194" s="102"/>
      <c r="E194" s="102">
        <f>D194+H194</f>
        <v>76488.7</v>
      </c>
      <c r="F194" s="102">
        <v>76488.7</v>
      </c>
      <c r="G194" s="102">
        <f>F194-E194</f>
        <v>0</v>
      </c>
      <c r="H194" s="102">
        <v>76488.7</v>
      </c>
      <c r="I194" s="102"/>
      <c r="J194" s="20">
        <v>140709.95</v>
      </c>
      <c r="K194" s="20">
        <v>140709.95</v>
      </c>
      <c r="L194" s="102">
        <v>73488.7</v>
      </c>
      <c r="M194" s="50"/>
      <c r="Q194" s="102">
        <v>76488.7</v>
      </c>
      <c r="R194" s="55">
        <f t="shared" si="27"/>
        <v>76488.7</v>
      </c>
    </row>
    <row r="195" spans="1:18" ht="27" customHeight="1">
      <c r="A195" s="32"/>
      <c r="B195" s="75" t="s">
        <v>22</v>
      </c>
      <c r="C195" s="24"/>
      <c r="D195" s="102"/>
      <c r="E195" s="102">
        <f>D195+H195</f>
        <v>81285.5</v>
      </c>
      <c r="F195" s="102">
        <f>64767.7+16517.8</f>
        <v>81285.5</v>
      </c>
      <c r="G195" s="102">
        <f>F195-E195</f>
        <v>0</v>
      </c>
      <c r="H195" s="102">
        <f>64767.7+16517.8</f>
        <v>81285.5</v>
      </c>
      <c r="I195" s="102"/>
      <c r="J195" s="20">
        <v>17431.48</v>
      </c>
      <c r="K195" s="20">
        <v>17431.48</v>
      </c>
      <c r="L195" s="102">
        <v>63658.4</v>
      </c>
      <c r="M195" s="50"/>
      <c r="Q195" s="102">
        <f>64767.7+16517.8</f>
        <v>81285.5</v>
      </c>
      <c r="R195" s="55">
        <f t="shared" si="27"/>
        <v>81285.5</v>
      </c>
    </row>
    <row r="196" spans="1:18" ht="54" customHeight="1">
      <c r="A196" s="32">
        <v>16</v>
      </c>
      <c r="B196" s="27" t="s">
        <v>74</v>
      </c>
      <c r="C196" s="24" t="s">
        <v>17</v>
      </c>
      <c r="D196" s="102">
        <f>SUM(D198:D199)</f>
        <v>0</v>
      </c>
      <c r="E196" s="102">
        <f>SUM(E198:E199)</f>
        <v>109894.9</v>
      </c>
      <c r="F196" s="102">
        <f>SUM(F198:F199)</f>
        <v>109894.9</v>
      </c>
      <c r="G196" s="102">
        <f>SUM(G198:G199)</f>
        <v>0</v>
      </c>
      <c r="H196" s="102">
        <f>SUM(H198:H199)</f>
        <v>109894.9</v>
      </c>
      <c r="I196" s="81" t="s">
        <v>19</v>
      </c>
      <c r="J196" s="20">
        <f>SUM(J198:J199)</f>
        <v>104670.47</v>
      </c>
      <c r="K196" s="20">
        <f>SUM(K198:K199)</f>
        <v>104670.47</v>
      </c>
      <c r="L196" s="102">
        <f>SUM(L198:L199)</f>
        <v>116439.7</v>
      </c>
      <c r="M196" s="50"/>
      <c r="Q196" s="102">
        <f>SUM(Q198:Q199)</f>
        <v>109894.9</v>
      </c>
      <c r="R196" s="55">
        <f t="shared" si="27"/>
        <v>109894.9</v>
      </c>
    </row>
    <row r="197" spans="1:18" ht="24.75" customHeight="1">
      <c r="A197" s="32"/>
      <c r="B197" s="75" t="s">
        <v>20</v>
      </c>
      <c r="C197" s="24"/>
      <c r="D197" s="102"/>
      <c r="E197" s="102"/>
      <c r="F197" s="102"/>
      <c r="G197" s="102"/>
      <c r="H197" s="102"/>
      <c r="I197" s="20"/>
      <c r="J197" s="20"/>
      <c r="K197" s="20"/>
      <c r="L197" s="20"/>
      <c r="M197" s="48"/>
      <c r="Q197" s="102"/>
      <c r="R197" s="55">
        <f t="shared" si="27"/>
        <v>0</v>
      </c>
    </row>
    <row r="198" spans="1:18" ht="24.75" customHeight="1">
      <c r="A198" s="32"/>
      <c r="B198" s="76" t="s">
        <v>21</v>
      </c>
      <c r="C198" s="24"/>
      <c r="D198" s="102"/>
      <c r="E198" s="102">
        <f>D198+H198</f>
        <v>88228.7</v>
      </c>
      <c r="F198" s="102">
        <v>88228.7</v>
      </c>
      <c r="G198" s="102">
        <f>F198-E198</f>
        <v>0</v>
      </c>
      <c r="H198" s="102">
        <v>88228.7</v>
      </c>
      <c r="I198" s="102"/>
      <c r="J198" s="20">
        <v>93132.94</v>
      </c>
      <c r="K198" s="20">
        <v>93132.94</v>
      </c>
      <c r="L198" s="102">
        <v>98228.7</v>
      </c>
      <c r="M198" s="50"/>
      <c r="Q198" s="102">
        <v>88228.7</v>
      </c>
      <c r="R198" s="55">
        <f t="shared" si="27"/>
        <v>88228.7</v>
      </c>
    </row>
    <row r="199" spans="1:18" ht="24.75" customHeight="1">
      <c r="A199" s="32"/>
      <c r="B199" s="75" t="s">
        <v>22</v>
      </c>
      <c r="C199" s="24"/>
      <c r="D199" s="102"/>
      <c r="E199" s="102">
        <f>D199+H199</f>
        <v>21666.199999999997</v>
      </c>
      <c r="F199" s="102">
        <f>15569.8+6096.4</f>
        <v>21666.199999999997</v>
      </c>
      <c r="G199" s="102">
        <f>F199-E199</f>
        <v>0</v>
      </c>
      <c r="H199" s="102">
        <f>15569.8+6096.4</f>
        <v>21666.199999999997</v>
      </c>
      <c r="I199" s="102"/>
      <c r="J199" s="20">
        <v>11537.53</v>
      </c>
      <c r="K199" s="20">
        <v>11537.53</v>
      </c>
      <c r="L199" s="102">
        <v>18211</v>
      </c>
      <c r="M199" s="50"/>
      <c r="Q199" s="102">
        <f>15569.8+6096.4</f>
        <v>21666.199999999997</v>
      </c>
      <c r="R199" s="55">
        <f t="shared" si="27"/>
        <v>21666.199999999997</v>
      </c>
    </row>
    <row r="200" spans="1:18" ht="54" customHeight="1">
      <c r="A200" s="32">
        <v>17</v>
      </c>
      <c r="B200" s="27" t="s">
        <v>102</v>
      </c>
      <c r="C200" s="24" t="s">
        <v>17</v>
      </c>
      <c r="D200" s="102">
        <f>SUM(D202:D203)</f>
        <v>0</v>
      </c>
      <c r="E200" s="102">
        <f>SUM(E202:E203)</f>
        <v>78268.79999999999</v>
      </c>
      <c r="F200" s="102">
        <f>SUM(F202:F203)</f>
        <v>78268.79999999999</v>
      </c>
      <c r="G200" s="102">
        <f>SUM(G202:G203)</f>
        <v>0</v>
      </c>
      <c r="H200" s="102">
        <f>SUM(H202:H203)</f>
        <v>78268.79999999999</v>
      </c>
      <c r="I200" s="81" t="s">
        <v>19</v>
      </c>
      <c r="J200" s="20">
        <f>SUM(J202:J203)</f>
        <v>86164.73999999999</v>
      </c>
      <c r="K200" s="20">
        <f>SUM(K202:K203)</f>
        <v>86164.73999999999</v>
      </c>
      <c r="L200" s="102">
        <f>SUM(L202:L203)</f>
        <v>60330</v>
      </c>
      <c r="M200" s="50"/>
      <c r="Q200" s="102">
        <f>SUM(Q202:Q203)</f>
        <v>78268.79999999999</v>
      </c>
      <c r="R200" s="55">
        <f t="shared" si="27"/>
        <v>78268.79999999999</v>
      </c>
    </row>
    <row r="201" spans="1:18" ht="29.25" customHeight="1">
      <c r="A201" s="32"/>
      <c r="B201" s="75" t="s">
        <v>20</v>
      </c>
      <c r="C201" s="24"/>
      <c r="D201" s="102"/>
      <c r="E201" s="102"/>
      <c r="F201" s="102"/>
      <c r="G201" s="102"/>
      <c r="H201" s="102"/>
      <c r="I201" s="20"/>
      <c r="J201" s="20"/>
      <c r="K201" s="20"/>
      <c r="L201" s="20"/>
      <c r="M201" s="48"/>
      <c r="Q201" s="102"/>
      <c r="R201" s="55">
        <f t="shared" si="27"/>
        <v>0</v>
      </c>
    </row>
    <row r="202" spans="1:18" ht="29.25" customHeight="1">
      <c r="A202" s="32"/>
      <c r="B202" s="76" t="s">
        <v>21</v>
      </c>
      <c r="C202" s="24"/>
      <c r="D202" s="102"/>
      <c r="E202" s="102">
        <f>D202+H202</f>
        <v>46118.7</v>
      </c>
      <c r="F202" s="102">
        <v>46118.7</v>
      </c>
      <c r="G202" s="102">
        <f>F202-E202</f>
        <v>0</v>
      </c>
      <c r="H202" s="102">
        <v>46118.7</v>
      </c>
      <c r="I202" s="102"/>
      <c r="J202" s="20">
        <v>76667.04</v>
      </c>
      <c r="K202" s="20">
        <v>76667.04</v>
      </c>
      <c r="L202" s="102">
        <v>46118.7</v>
      </c>
      <c r="M202" s="50"/>
      <c r="Q202" s="102">
        <v>46118.7</v>
      </c>
      <c r="R202" s="55">
        <f t="shared" si="27"/>
        <v>46118.7</v>
      </c>
    </row>
    <row r="203" spans="1:18" ht="29.25" customHeight="1">
      <c r="A203" s="32"/>
      <c r="B203" s="75" t="s">
        <v>22</v>
      </c>
      <c r="C203" s="24"/>
      <c r="D203" s="102"/>
      <c r="E203" s="102">
        <f>D203+H203</f>
        <v>32150.1</v>
      </c>
      <c r="F203" s="102">
        <v>32150.1</v>
      </c>
      <c r="G203" s="102">
        <f>F203-E203</f>
        <v>0</v>
      </c>
      <c r="H203" s="102">
        <v>32150.1</v>
      </c>
      <c r="I203" s="102"/>
      <c r="J203" s="20">
        <v>9497.7</v>
      </c>
      <c r="K203" s="20">
        <v>9497.7</v>
      </c>
      <c r="L203" s="102">
        <v>14211.3</v>
      </c>
      <c r="M203" s="50"/>
      <c r="Q203" s="102">
        <v>32150.1</v>
      </c>
      <c r="R203" s="55">
        <f t="shared" si="27"/>
        <v>32150.1</v>
      </c>
    </row>
    <row r="204" spans="1:18" ht="54" customHeight="1">
      <c r="A204" s="32">
        <v>18</v>
      </c>
      <c r="B204" s="30" t="s">
        <v>101</v>
      </c>
      <c r="C204" s="24" t="s">
        <v>17</v>
      </c>
      <c r="D204" s="102">
        <f>SUM(D206:D207)</f>
        <v>0</v>
      </c>
      <c r="E204" s="102">
        <f>SUM(E206:E207)</f>
        <v>73452.1</v>
      </c>
      <c r="F204" s="102">
        <f>SUM(F206:F207)</f>
        <v>73452.1</v>
      </c>
      <c r="G204" s="102">
        <f>SUM(G206:G207)</f>
        <v>0</v>
      </c>
      <c r="H204" s="102">
        <f>SUM(H206:H207)</f>
        <v>73452.1</v>
      </c>
      <c r="I204" s="81" t="s">
        <v>19</v>
      </c>
      <c r="J204" s="20">
        <f>SUM(J206:J207)</f>
        <v>81589.79000000001</v>
      </c>
      <c r="K204" s="20">
        <f>SUM(K206:K207)</f>
        <v>81589.79000000001</v>
      </c>
      <c r="L204" s="102">
        <f>SUM(L206:L207)</f>
        <v>55937.7</v>
      </c>
      <c r="M204" s="50"/>
      <c r="Q204" s="102">
        <f>SUM(Q206:Q207)</f>
        <v>73452.1</v>
      </c>
      <c r="R204" s="55">
        <f t="shared" si="27"/>
        <v>73452.1</v>
      </c>
    </row>
    <row r="205" spans="1:18" ht="28.5" customHeight="1">
      <c r="A205" s="32"/>
      <c r="B205" s="75" t="s">
        <v>20</v>
      </c>
      <c r="C205" s="24"/>
      <c r="D205" s="102"/>
      <c r="E205" s="102"/>
      <c r="F205" s="102"/>
      <c r="G205" s="102"/>
      <c r="H205" s="102"/>
      <c r="I205" s="20"/>
      <c r="J205" s="20"/>
      <c r="K205" s="20"/>
      <c r="L205" s="20"/>
      <c r="M205" s="48"/>
      <c r="Q205" s="102"/>
      <c r="R205" s="55">
        <f t="shared" si="27"/>
        <v>0</v>
      </c>
    </row>
    <row r="206" spans="1:18" ht="28.5" customHeight="1">
      <c r="A206" s="32"/>
      <c r="B206" s="76" t="s">
        <v>21</v>
      </c>
      <c r="C206" s="24"/>
      <c r="D206" s="102"/>
      <c r="E206" s="102">
        <f>D206+H206</f>
        <v>46118.7</v>
      </c>
      <c r="F206" s="102">
        <v>46118.7</v>
      </c>
      <c r="G206" s="102">
        <f>F206-E206</f>
        <v>0</v>
      </c>
      <c r="H206" s="102">
        <v>46118.7</v>
      </c>
      <c r="I206" s="102"/>
      <c r="J206" s="20">
        <v>72596.38</v>
      </c>
      <c r="K206" s="20">
        <v>72596.38</v>
      </c>
      <c r="L206" s="102">
        <v>46118.7</v>
      </c>
      <c r="M206" s="50"/>
      <c r="Q206" s="102">
        <v>46118.7</v>
      </c>
      <c r="R206" s="55">
        <f t="shared" si="27"/>
        <v>46118.7</v>
      </c>
    </row>
    <row r="207" spans="1:18" ht="28.5" customHeight="1">
      <c r="A207" s="32"/>
      <c r="B207" s="75" t="s">
        <v>22</v>
      </c>
      <c r="C207" s="24"/>
      <c r="D207" s="102"/>
      <c r="E207" s="102">
        <f>D207+H207</f>
        <v>27333.4</v>
      </c>
      <c r="F207" s="102">
        <f>25758.7+1574.7</f>
        <v>27333.4</v>
      </c>
      <c r="G207" s="102">
        <f>F207-E207</f>
        <v>0</v>
      </c>
      <c r="H207" s="102">
        <f>25758.7+1574.7</f>
        <v>27333.4</v>
      </c>
      <c r="I207" s="102"/>
      <c r="J207" s="20">
        <v>8993.41</v>
      </c>
      <c r="K207" s="20">
        <v>8993.41</v>
      </c>
      <c r="L207" s="102">
        <v>9819</v>
      </c>
      <c r="M207" s="50"/>
      <c r="Q207" s="102">
        <f>25758.7+1574.7</f>
        <v>27333.4</v>
      </c>
      <c r="R207" s="55">
        <f t="shared" si="27"/>
        <v>27333.4</v>
      </c>
    </row>
    <row r="208" spans="1:18" ht="54" customHeight="1">
      <c r="A208" s="32">
        <v>19</v>
      </c>
      <c r="B208" s="27" t="s">
        <v>75</v>
      </c>
      <c r="C208" s="24" t="s">
        <v>17</v>
      </c>
      <c r="D208" s="102">
        <f>SUM(D210:D211)</f>
        <v>0</v>
      </c>
      <c r="E208" s="102">
        <f>SUM(E210:E211)</f>
        <v>168949.7</v>
      </c>
      <c r="F208" s="102">
        <f>SUM(F210:F211)</f>
        <v>168949.7</v>
      </c>
      <c r="G208" s="102">
        <f>SUM(G210:G211)</f>
        <v>0</v>
      </c>
      <c r="H208" s="102">
        <f>SUM(H210:H211)</f>
        <v>168949.7</v>
      </c>
      <c r="I208" s="81" t="s">
        <v>19</v>
      </c>
      <c r="J208" s="20">
        <f>SUM(J210:J211)</f>
        <v>195672.19</v>
      </c>
      <c r="K208" s="20">
        <f>SUM(K210:K211)</f>
        <v>195672.19</v>
      </c>
      <c r="L208" s="102">
        <f>SUM(L210:L211)</f>
        <v>138207.1</v>
      </c>
      <c r="M208" s="50"/>
      <c r="Q208" s="102">
        <f>SUM(Q210:Q211)</f>
        <v>168949.7</v>
      </c>
      <c r="R208" s="55">
        <f t="shared" si="27"/>
        <v>168949.7</v>
      </c>
    </row>
    <row r="209" spans="1:18" ht="22.5" customHeight="1">
      <c r="A209" s="32"/>
      <c r="B209" s="75" t="s">
        <v>20</v>
      </c>
      <c r="C209" s="24"/>
      <c r="D209" s="102"/>
      <c r="E209" s="102"/>
      <c r="F209" s="102"/>
      <c r="G209" s="102"/>
      <c r="H209" s="102"/>
      <c r="I209" s="20"/>
      <c r="J209" s="20"/>
      <c r="K209" s="20"/>
      <c r="L209" s="20"/>
      <c r="M209" s="48"/>
      <c r="Q209" s="102"/>
      <c r="R209" s="55">
        <f t="shared" si="27"/>
        <v>0</v>
      </c>
    </row>
    <row r="210" spans="1:18" ht="22.5" customHeight="1">
      <c r="A210" s="32"/>
      <c r="B210" s="76" t="s">
        <v>21</v>
      </c>
      <c r="C210" s="24"/>
      <c r="D210" s="102"/>
      <c r="E210" s="102">
        <f>D210+H210</f>
        <v>73488.8</v>
      </c>
      <c r="F210" s="102">
        <v>73488.8</v>
      </c>
      <c r="G210" s="102">
        <f>F210-E210</f>
        <v>0</v>
      </c>
      <c r="H210" s="102">
        <v>73488.8</v>
      </c>
      <c r="I210" s="102"/>
      <c r="J210" s="20">
        <v>174103.8</v>
      </c>
      <c r="K210" s="20">
        <v>174103.8</v>
      </c>
      <c r="L210" s="102">
        <v>73488.8</v>
      </c>
      <c r="M210" s="50"/>
      <c r="Q210" s="102">
        <v>73488.8</v>
      </c>
      <c r="R210" s="55">
        <f t="shared" si="27"/>
        <v>73488.8</v>
      </c>
    </row>
    <row r="211" spans="1:18" ht="22.5" customHeight="1">
      <c r="A211" s="24"/>
      <c r="B211" s="75" t="s">
        <v>22</v>
      </c>
      <c r="C211" s="22"/>
      <c r="D211" s="102"/>
      <c r="E211" s="102">
        <f>D211+H211</f>
        <v>95460.90000000001</v>
      </c>
      <c r="F211" s="102">
        <f>91631.6+3829.3</f>
        <v>95460.90000000001</v>
      </c>
      <c r="G211" s="102">
        <f>F211-E211</f>
        <v>0</v>
      </c>
      <c r="H211" s="102">
        <f>91631.6+3829.3</f>
        <v>95460.90000000001</v>
      </c>
      <c r="I211" s="102"/>
      <c r="J211" s="20">
        <v>21568.39</v>
      </c>
      <c r="K211" s="20">
        <v>21568.39</v>
      </c>
      <c r="L211" s="102">
        <v>64718.3</v>
      </c>
      <c r="M211" s="50"/>
      <c r="Q211" s="102">
        <f>91631.6+3829.3</f>
        <v>95460.90000000001</v>
      </c>
      <c r="R211" s="55">
        <f t="shared" si="27"/>
        <v>95460.90000000001</v>
      </c>
    </row>
    <row r="212" spans="1:18" ht="126" customHeight="1">
      <c r="A212" s="24"/>
      <c r="B212" s="29" t="s">
        <v>210</v>
      </c>
      <c r="C212" s="22" t="s">
        <v>17</v>
      </c>
      <c r="D212" s="103">
        <f>D214+D215</f>
        <v>0</v>
      </c>
      <c r="E212" s="103">
        <f>E214+E215</f>
        <v>165405.69999999998</v>
      </c>
      <c r="F212" s="103">
        <f>F214+F215</f>
        <v>165405.69999999998</v>
      </c>
      <c r="G212" s="103">
        <f>G214+G215</f>
        <v>0</v>
      </c>
      <c r="H212" s="103">
        <f>H214+H215</f>
        <v>165405.69999999998</v>
      </c>
      <c r="I212" s="103"/>
      <c r="J212" s="103"/>
      <c r="K212" s="103"/>
      <c r="L212" s="103"/>
      <c r="M212" s="46"/>
      <c r="Q212" s="103">
        <f>Q214+Q215</f>
        <v>165405.69999999998</v>
      </c>
      <c r="R212" s="55">
        <f t="shared" si="27"/>
        <v>165405.69999999998</v>
      </c>
    </row>
    <row r="213" spans="1:18" ht="24" customHeight="1">
      <c r="A213" s="24"/>
      <c r="B213" s="78" t="s">
        <v>20</v>
      </c>
      <c r="C213" s="22"/>
      <c r="D213" s="103"/>
      <c r="E213" s="103"/>
      <c r="F213" s="103"/>
      <c r="G213" s="103"/>
      <c r="H213" s="103"/>
      <c r="I213" s="103"/>
      <c r="J213" s="103"/>
      <c r="K213" s="103"/>
      <c r="L213" s="103"/>
      <c r="M213" s="46"/>
      <c r="Q213" s="103"/>
      <c r="R213" s="55">
        <f t="shared" si="27"/>
        <v>0</v>
      </c>
    </row>
    <row r="214" spans="1:18" ht="33.75" customHeight="1">
      <c r="A214" s="24"/>
      <c r="B214" s="79" t="s">
        <v>21</v>
      </c>
      <c r="C214" s="22" t="s">
        <v>17</v>
      </c>
      <c r="D214" s="103">
        <f aca="true" t="shared" si="32" ref="D214:H215">D218+D222+D226+D234+D238+D242+D246+D250+D230</f>
        <v>0</v>
      </c>
      <c r="E214" s="103">
        <f t="shared" si="32"/>
        <v>140594.9</v>
      </c>
      <c r="F214" s="103">
        <f>F218+F222+F226+F234+F238+F242+F246+F250+F230</f>
        <v>140594.9</v>
      </c>
      <c r="G214" s="103">
        <f>G218+G222+G226+G234+G238+G242+G246+G250+G230</f>
        <v>0</v>
      </c>
      <c r="H214" s="103">
        <f t="shared" si="32"/>
        <v>140594.9</v>
      </c>
      <c r="I214" s="103"/>
      <c r="J214" s="103"/>
      <c r="K214" s="103"/>
      <c r="L214" s="103"/>
      <c r="M214" s="46"/>
      <c r="Q214" s="103">
        <f>Q218+Q222+Q226+Q234+Q238+Q242+Q246+Q250+Q230</f>
        <v>140594.9</v>
      </c>
      <c r="R214" s="55">
        <f t="shared" si="27"/>
        <v>140594.9</v>
      </c>
    </row>
    <row r="215" spans="1:18" ht="33.75" customHeight="1">
      <c r="A215" s="24"/>
      <c r="B215" s="78" t="s">
        <v>22</v>
      </c>
      <c r="C215" s="22" t="s">
        <v>17</v>
      </c>
      <c r="D215" s="103">
        <f t="shared" si="32"/>
        <v>0</v>
      </c>
      <c r="E215" s="103">
        <f t="shared" si="32"/>
        <v>24810.799999999996</v>
      </c>
      <c r="F215" s="103">
        <f>F219+F223+F227+F235+F239+F243+F247+F251+F231</f>
        <v>24810.799999999996</v>
      </c>
      <c r="G215" s="103">
        <f>G219+G223+G227+G235+G239+G243+G247+G251+G231</f>
        <v>0</v>
      </c>
      <c r="H215" s="103">
        <f t="shared" si="32"/>
        <v>24810.799999999996</v>
      </c>
      <c r="I215" s="103"/>
      <c r="J215" s="103"/>
      <c r="K215" s="103"/>
      <c r="L215" s="103"/>
      <c r="M215" s="46"/>
      <c r="Q215" s="103">
        <f>Q219+Q223+Q227+Q235+Q239+Q243+Q247+Q251+Q231</f>
        <v>24810.799999999996</v>
      </c>
      <c r="R215" s="55">
        <f t="shared" si="27"/>
        <v>24810.799999999996</v>
      </c>
    </row>
    <row r="216" spans="1:18" ht="93.75" customHeight="1">
      <c r="A216" s="32">
        <v>20</v>
      </c>
      <c r="B216" s="27" t="s">
        <v>167</v>
      </c>
      <c r="C216" s="24" t="s">
        <v>17</v>
      </c>
      <c r="D216" s="102">
        <f>SUM(D218:D219)</f>
        <v>0</v>
      </c>
      <c r="E216" s="102">
        <f>SUM(E218:E219)</f>
        <v>15541.5</v>
      </c>
      <c r="F216" s="102">
        <f>SUM(F218:F219)</f>
        <v>15541.5</v>
      </c>
      <c r="G216" s="102"/>
      <c r="H216" s="102">
        <f>SUM(H218:H219)</f>
        <v>15541.5</v>
      </c>
      <c r="I216" s="81" t="s">
        <v>19</v>
      </c>
      <c r="J216" s="20"/>
      <c r="K216" s="20"/>
      <c r="L216" s="102"/>
      <c r="M216" s="50"/>
      <c r="Q216" s="102">
        <f>SUM(Q218:Q219)</f>
        <v>15541.5</v>
      </c>
      <c r="R216" s="55">
        <f t="shared" si="27"/>
        <v>15541.5</v>
      </c>
    </row>
    <row r="217" spans="1:18" ht="21" customHeight="1">
      <c r="A217" s="32"/>
      <c r="B217" s="75" t="s">
        <v>20</v>
      </c>
      <c r="C217" s="24"/>
      <c r="D217" s="102"/>
      <c r="E217" s="102"/>
      <c r="F217" s="102"/>
      <c r="G217" s="102"/>
      <c r="H217" s="102"/>
      <c r="I217" s="102"/>
      <c r="J217" s="20"/>
      <c r="K217" s="20"/>
      <c r="L217" s="102"/>
      <c r="M217" s="50"/>
      <c r="Q217" s="102"/>
      <c r="R217" s="55">
        <f t="shared" si="27"/>
        <v>0</v>
      </c>
    </row>
    <row r="218" spans="1:18" ht="30" customHeight="1">
      <c r="A218" s="32"/>
      <c r="B218" s="76" t="s">
        <v>21</v>
      </c>
      <c r="C218" s="24"/>
      <c r="D218" s="102"/>
      <c r="E218" s="102">
        <f>D218+H218</f>
        <v>13210.3</v>
      </c>
      <c r="F218" s="102">
        <v>13210.3</v>
      </c>
      <c r="G218" s="102">
        <f>F218-E218</f>
        <v>0</v>
      </c>
      <c r="H218" s="102">
        <v>13210.3</v>
      </c>
      <c r="I218" s="102"/>
      <c r="J218" s="20"/>
      <c r="K218" s="20"/>
      <c r="L218" s="102"/>
      <c r="M218" s="50"/>
      <c r="Q218" s="102">
        <v>13210.3</v>
      </c>
      <c r="R218" s="55">
        <f t="shared" si="27"/>
        <v>13210.3</v>
      </c>
    </row>
    <row r="219" spans="1:18" ht="30" customHeight="1">
      <c r="A219" s="24"/>
      <c r="B219" s="75" t="s">
        <v>22</v>
      </c>
      <c r="C219" s="22"/>
      <c r="D219" s="102"/>
      <c r="E219" s="102">
        <f>D219+H219</f>
        <v>2331.2</v>
      </c>
      <c r="F219" s="102">
        <v>2331.2</v>
      </c>
      <c r="G219" s="102">
        <f>F219-E219</f>
        <v>0</v>
      </c>
      <c r="H219" s="102">
        <v>2331.2</v>
      </c>
      <c r="I219" s="102"/>
      <c r="J219" s="20"/>
      <c r="K219" s="20"/>
      <c r="L219" s="102"/>
      <c r="M219" s="50"/>
      <c r="Q219" s="102">
        <v>2331.2</v>
      </c>
      <c r="R219" s="55">
        <f t="shared" si="27"/>
        <v>2331.2</v>
      </c>
    </row>
    <row r="220" spans="1:18" ht="81" customHeight="1">
      <c r="A220" s="32">
        <v>21</v>
      </c>
      <c r="B220" s="27" t="s">
        <v>138</v>
      </c>
      <c r="C220" s="24" t="s">
        <v>17</v>
      </c>
      <c r="D220" s="102">
        <f>SUM(D222:D223)</f>
        <v>0</v>
      </c>
      <c r="E220" s="102">
        <f>SUM(E222:E223)</f>
        <v>24090.5</v>
      </c>
      <c r="F220" s="102">
        <f>SUM(F222:F223)</f>
        <v>24090.5</v>
      </c>
      <c r="G220" s="102"/>
      <c r="H220" s="102">
        <f>SUM(H222:H223)</f>
        <v>24090.5</v>
      </c>
      <c r="I220" s="81" t="s">
        <v>19</v>
      </c>
      <c r="J220" s="20"/>
      <c r="K220" s="20"/>
      <c r="L220" s="102"/>
      <c r="M220" s="50"/>
      <c r="Q220" s="102">
        <f>SUM(Q222:Q223)</f>
        <v>24090.5</v>
      </c>
      <c r="R220" s="55">
        <f t="shared" si="27"/>
        <v>24090.5</v>
      </c>
    </row>
    <row r="221" spans="1:18" ht="18.75" customHeight="1">
      <c r="A221" s="32"/>
      <c r="B221" s="75" t="s">
        <v>20</v>
      </c>
      <c r="C221" s="24"/>
      <c r="D221" s="102"/>
      <c r="E221" s="102"/>
      <c r="F221" s="102"/>
      <c r="G221" s="102"/>
      <c r="H221" s="102"/>
      <c r="I221" s="102"/>
      <c r="J221" s="20"/>
      <c r="K221" s="20"/>
      <c r="L221" s="102"/>
      <c r="M221" s="50"/>
      <c r="Q221" s="102"/>
      <c r="R221" s="55">
        <f t="shared" si="27"/>
        <v>0</v>
      </c>
    </row>
    <row r="222" spans="1:18" ht="30" customHeight="1">
      <c r="A222" s="32"/>
      <c r="B222" s="76" t="s">
        <v>21</v>
      </c>
      <c r="C222" s="24"/>
      <c r="D222" s="102"/>
      <c r="E222" s="102">
        <f>D222+H222</f>
        <v>20476.9</v>
      </c>
      <c r="F222" s="102">
        <v>20476.9</v>
      </c>
      <c r="G222" s="102">
        <f>F222-E222</f>
        <v>0</v>
      </c>
      <c r="H222" s="102">
        <v>20476.9</v>
      </c>
      <c r="I222" s="102"/>
      <c r="J222" s="20"/>
      <c r="K222" s="20"/>
      <c r="L222" s="102"/>
      <c r="M222" s="50"/>
      <c r="Q222" s="102">
        <v>20476.9</v>
      </c>
      <c r="R222" s="55">
        <f t="shared" si="27"/>
        <v>20476.9</v>
      </c>
    </row>
    <row r="223" spans="1:18" ht="30" customHeight="1">
      <c r="A223" s="24"/>
      <c r="B223" s="75" t="s">
        <v>22</v>
      </c>
      <c r="C223" s="22"/>
      <c r="D223" s="102"/>
      <c r="E223" s="102">
        <f>D223+H223</f>
        <v>3613.6</v>
      </c>
      <c r="F223" s="102">
        <v>3613.6</v>
      </c>
      <c r="G223" s="102">
        <f>F223-E223</f>
        <v>0</v>
      </c>
      <c r="H223" s="102">
        <v>3613.6</v>
      </c>
      <c r="I223" s="102"/>
      <c r="J223" s="20"/>
      <c r="K223" s="20"/>
      <c r="L223" s="102"/>
      <c r="M223" s="50"/>
      <c r="Q223" s="102">
        <v>3613.6</v>
      </c>
      <c r="R223" s="55">
        <f t="shared" si="27"/>
        <v>3613.6</v>
      </c>
    </row>
    <row r="224" spans="1:18" ht="97.5" customHeight="1">
      <c r="A224" s="32">
        <v>22</v>
      </c>
      <c r="B224" s="27" t="s">
        <v>139</v>
      </c>
      <c r="C224" s="24" t="s">
        <v>17</v>
      </c>
      <c r="D224" s="102">
        <f>SUM(D226:D227)</f>
        <v>0</v>
      </c>
      <c r="E224" s="102">
        <f>SUM(E226:E227)</f>
        <v>21092</v>
      </c>
      <c r="F224" s="21">
        <f>SUM(F226:F227)</f>
        <v>21092</v>
      </c>
      <c r="G224" s="102"/>
      <c r="H224" s="102">
        <f>SUM(H226:H227)</f>
        <v>21092</v>
      </c>
      <c r="I224" s="81" t="s">
        <v>19</v>
      </c>
      <c r="J224" s="20"/>
      <c r="K224" s="20"/>
      <c r="L224" s="102"/>
      <c r="M224" s="50"/>
      <c r="Q224" s="102">
        <f>SUM(Q226:Q227)</f>
        <v>21092</v>
      </c>
      <c r="R224" s="55">
        <f t="shared" si="27"/>
        <v>21092</v>
      </c>
    </row>
    <row r="225" spans="1:18" ht="21.75" customHeight="1">
      <c r="A225" s="32"/>
      <c r="B225" s="75" t="s">
        <v>20</v>
      </c>
      <c r="C225" s="24"/>
      <c r="D225" s="102"/>
      <c r="E225" s="102"/>
      <c r="F225" s="102"/>
      <c r="G225" s="102"/>
      <c r="H225" s="102"/>
      <c r="I225" s="102"/>
      <c r="J225" s="20"/>
      <c r="K225" s="20"/>
      <c r="L225" s="102"/>
      <c r="M225" s="50"/>
      <c r="Q225" s="102"/>
      <c r="R225" s="55">
        <f t="shared" si="27"/>
        <v>0</v>
      </c>
    </row>
    <row r="226" spans="1:18" ht="30" customHeight="1">
      <c r="A226" s="32"/>
      <c r="B226" s="76" t="s">
        <v>21</v>
      </c>
      <c r="C226" s="24"/>
      <c r="D226" s="102"/>
      <c r="E226" s="102">
        <f>D226+H226</f>
        <v>17928.2</v>
      </c>
      <c r="F226" s="102">
        <v>17928.2</v>
      </c>
      <c r="G226" s="102">
        <f>F226-E226</f>
        <v>0</v>
      </c>
      <c r="H226" s="102">
        <v>17928.2</v>
      </c>
      <c r="I226" s="102"/>
      <c r="J226" s="20"/>
      <c r="K226" s="20"/>
      <c r="L226" s="102"/>
      <c r="M226" s="50"/>
      <c r="Q226" s="102">
        <v>17928.2</v>
      </c>
      <c r="R226" s="55">
        <f t="shared" si="27"/>
        <v>17928.2</v>
      </c>
    </row>
    <row r="227" spans="1:18" ht="30" customHeight="1">
      <c r="A227" s="24"/>
      <c r="B227" s="75" t="s">
        <v>22</v>
      </c>
      <c r="C227" s="22"/>
      <c r="D227" s="102"/>
      <c r="E227" s="102">
        <f>D227+H227</f>
        <v>3163.8</v>
      </c>
      <c r="F227" s="102">
        <v>3163.8</v>
      </c>
      <c r="G227" s="102">
        <f>F227-E227</f>
        <v>0</v>
      </c>
      <c r="H227" s="102">
        <v>3163.8</v>
      </c>
      <c r="I227" s="102"/>
      <c r="J227" s="20"/>
      <c r="K227" s="20"/>
      <c r="L227" s="102"/>
      <c r="M227" s="50"/>
      <c r="Q227" s="102">
        <v>3163.8</v>
      </c>
      <c r="R227" s="55">
        <f t="shared" si="27"/>
        <v>3163.8</v>
      </c>
    </row>
    <row r="228" spans="1:18" ht="90" customHeight="1">
      <c r="A228" s="32">
        <v>23</v>
      </c>
      <c r="B228" s="27" t="s">
        <v>140</v>
      </c>
      <c r="C228" s="24" t="s">
        <v>17</v>
      </c>
      <c r="D228" s="102">
        <f>SUM(D230:D231)</f>
        <v>0</v>
      </c>
      <c r="E228" s="102">
        <f>SUM(E230:E231)</f>
        <v>24090.5</v>
      </c>
      <c r="F228" s="102">
        <f>SUM(F230:F231)</f>
        <v>24090.5</v>
      </c>
      <c r="G228" s="102"/>
      <c r="H228" s="102">
        <f>SUM(H230:H231)</f>
        <v>24090.5</v>
      </c>
      <c r="I228" s="81" t="s">
        <v>19</v>
      </c>
      <c r="J228" s="20"/>
      <c r="K228" s="20"/>
      <c r="L228" s="102"/>
      <c r="M228" s="50"/>
      <c r="Q228" s="102">
        <f>SUM(Q230:Q231)</f>
        <v>24090.5</v>
      </c>
      <c r="R228" s="55">
        <f t="shared" si="27"/>
        <v>24090.5</v>
      </c>
    </row>
    <row r="229" spans="1:18" ht="21" customHeight="1">
      <c r="A229" s="32"/>
      <c r="B229" s="75" t="s">
        <v>20</v>
      </c>
      <c r="C229" s="24"/>
      <c r="D229" s="102"/>
      <c r="E229" s="102"/>
      <c r="F229" s="102"/>
      <c r="G229" s="102"/>
      <c r="H229" s="102"/>
      <c r="I229" s="102"/>
      <c r="J229" s="20"/>
      <c r="K229" s="20"/>
      <c r="L229" s="102"/>
      <c r="M229" s="50"/>
      <c r="Q229" s="102"/>
      <c r="R229" s="55">
        <f t="shared" si="27"/>
        <v>0</v>
      </c>
    </row>
    <row r="230" spans="1:18" ht="30" customHeight="1">
      <c r="A230" s="32"/>
      <c r="B230" s="76" t="s">
        <v>21</v>
      </c>
      <c r="C230" s="24"/>
      <c r="D230" s="102"/>
      <c r="E230" s="102">
        <f>D230+H230</f>
        <v>20476.9</v>
      </c>
      <c r="F230" s="102">
        <v>20476.9</v>
      </c>
      <c r="G230" s="102">
        <f>F230-E230</f>
        <v>0</v>
      </c>
      <c r="H230" s="102">
        <v>20476.9</v>
      </c>
      <c r="I230" s="102"/>
      <c r="J230" s="20"/>
      <c r="K230" s="20"/>
      <c r="L230" s="102"/>
      <c r="M230" s="50"/>
      <c r="Q230" s="102">
        <v>20476.9</v>
      </c>
      <c r="R230" s="55">
        <f t="shared" si="27"/>
        <v>20476.9</v>
      </c>
    </row>
    <row r="231" spans="1:18" ht="30" customHeight="1">
      <c r="A231" s="24"/>
      <c r="B231" s="75" t="s">
        <v>22</v>
      </c>
      <c r="C231" s="22"/>
      <c r="D231" s="102"/>
      <c r="E231" s="102">
        <f>D231+H231</f>
        <v>3613.6</v>
      </c>
      <c r="F231" s="102">
        <v>3613.6</v>
      </c>
      <c r="G231" s="102">
        <f>F231-E231</f>
        <v>0</v>
      </c>
      <c r="H231" s="102">
        <v>3613.6</v>
      </c>
      <c r="I231" s="102"/>
      <c r="J231" s="20"/>
      <c r="K231" s="20"/>
      <c r="L231" s="102"/>
      <c r="M231" s="50"/>
      <c r="Q231" s="102">
        <v>3613.6</v>
      </c>
      <c r="R231" s="55">
        <f t="shared" si="27"/>
        <v>3613.6</v>
      </c>
    </row>
    <row r="232" spans="1:18" ht="72" customHeight="1">
      <c r="A232" s="32">
        <v>24</v>
      </c>
      <c r="B232" s="27" t="s">
        <v>168</v>
      </c>
      <c r="C232" s="24" t="s">
        <v>17</v>
      </c>
      <c r="D232" s="102">
        <f>SUM(D234:D235)</f>
        <v>0</v>
      </c>
      <c r="E232" s="102">
        <f>SUM(E234:E235)</f>
        <v>15541.5</v>
      </c>
      <c r="F232" s="102">
        <f>SUM(F234:F235)</f>
        <v>15541.5</v>
      </c>
      <c r="G232" s="102"/>
      <c r="H232" s="102">
        <f>SUM(H234:H235)</f>
        <v>15541.5</v>
      </c>
      <c r="I232" s="81" t="s">
        <v>19</v>
      </c>
      <c r="J232" s="20"/>
      <c r="K232" s="20"/>
      <c r="L232" s="102"/>
      <c r="M232" s="50"/>
      <c r="Q232" s="102">
        <f>SUM(Q234:Q235)</f>
        <v>15541.5</v>
      </c>
      <c r="R232" s="55">
        <f t="shared" si="27"/>
        <v>15541.5</v>
      </c>
    </row>
    <row r="233" spans="1:18" ht="18.75" customHeight="1">
      <c r="A233" s="32"/>
      <c r="B233" s="75" t="s">
        <v>20</v>
      </c>
      <c r="C233" s="24"/>
      <c r="D233" s="102"/>
      <c r="E233" s="102"/>
      <c r="F233" s="102"/>
      <c r="G233" s="102"/>
      <c r="H233" s="102"/>
      <c r="I233" s="102"/>
      <c r="J233" s="20"/>
      <c r="K233" s="20"/>
      <c r="L233" s="102"/>
      <c r="M233" s="50"/>
      <c r="Q233" s="102"/>
      <c r="R233" s="55">
        <f t="shared" si="27"/>
        <v>0</v>
      </c>
    </row>
    <row r="234" spans="1:18" ht="30" customHeight="1">
      <c r="A234" s="32"/>
      <c r="B234" s="76" t="s">
        <v>21</v>
      </c>
      <c r="C234" s="24"/>
      <c r="D234" s="102"/>
      <c r="E234" s="102">
        <f>D234+H234</f>
        <v>13210.3</v>
      </c>
      <c r="F234" s="102">
        <v>13210.3</v>
      </c>
      <c r="G234" s="102">
        <f>F234-E234</f>
        <v>0</v>
      </c>
      <c r="H234" s="102">
        <v>13210.3</v>
      </c>
      <c r="I234" s="102"/>
      <c r="J234" s="20"/>
      <c r="K234" s="20"/>
      <c r="L234" s="102"/>
      <c r="M234" s="50"/>
      <c r="Q234" s="102">
        <v>13210.3</v>
      </c>
      <c r="R234" s="55">
        <f t="shared" si="27"/>
        <v>13210.3</v>
      </c>
    </row>
    <row r="235" spans="1:18" ht="30" customHeight="1">
      <c r="A235" s="24"/>
      <c r="B235" s="75" t="s">
        <v>22</v>
      </c>
      <c r="C235" s="22"/>
      <c r="D235" s="102"/>
      <c r="E235" s="102">
        <f>D235+H235</f>
        <v>2331.2</v>
      </c>
      <c r="F235" s="102">
        <v>2331.2</v>
      </c>
      <c r="G235" s="102">
        <f>F235-E235</f>
        <v>0</v>
      </c>
      <c r="H235" s="102">
        <v>2331.2</v>
      </c>
      <c r="I235" s="102"/>
      <c r="J235" s="20"/>
      <c r="K235" s="20"/>
      <c r="L235" s="102"/>
      <c r="M235" s="50"/>
      <c r="Q235" s="102">
        <v>2331.2</v>
      </c>
      <c r="R235" s="55">
        <f t="shared" si="27"/>
        <v>2331.2</v>
      </c>
    </row>
    <row r="236" spans="1:18" ht="99" customHeight="1">
      <c r="A236" s="32">
        <v>25</v>
      </c>
      <c r="B236" s="27" t="s">
        <v>141</v>
      </c>
      <c r="C236" s="24" t="s">
        <v>17</v>
      </c>
      <c r="D236" s="102">
        <f>SUM(D238:D239)</f>
        <v>0</v>
      </c>
      <c r="E236" s="102">
        <f>SUM(E238:E239)</f>
        <v>18871.8</v>
      </c>
      <c r="F236" s="102">
        <f>SUM(F238:F239)</f>
        <v>18871.8</v>
      </c>
      <c r="G236" s="102"/>
      <c r="H236" s="102">
        <f>SUM(H238:H239)</f>
        <v>18871.8</v>
      </c>
      <c r="I236" s="81" t="s">
        <v>19</v>
      </c>
      <c r="J236" s="20"/>
      <c r="K236" s="20"/>
      <c r="L236" s="102"/>
      <c r="M236" s="50"/>
      <c r="Q236" s="102">
        <f>SUM(Q238:Q239)</f>
        <v>18871.8</v>
      </c>
      <c r="R236" s="55">
        <f aca="true" t="shared" si="33" ref="R236:R299">H236+D236</f>
        <v>18871.8</v>
      </c>
    </row>
    <row r="237" spans="1:18" ht="20.25" customHeight="1">
      <c r="A237" s="32"/>
      <c r="B237" s="75" t="s">
        <v>20</v>
      </c>
      <c r="C237" s="24"/>
      <c r="D237" s="102"/>
      <c r="E237" s="102"/>
      <c r="F237" s="102"/>
      <c r="G237" s="102"/>
      <c r="H237" s="102"/>
      <c r="I237" s="102"/>
      <c r="J237" s="20"/>
      <c r="K237" s="20"/>
      <c r="L237" s="102"/>
      <c r="M237" s="50"/>
      <c r="Q237" s="102"/>
      <c r="R237" s="55">
        <f t="shared" si="33"/>
        <v>0</v>
      </c>
    </row>
    <row r="238" spans="1:18" ht="30" customHeight="1">
      <c r="A238" s="32"/>
      <c r="B238" s="76" t="s">
        <v>21</v>
      </c>
      <c r="C238" s="24"/>
      <c r="D238" s="102"/>
      <c r="E238" s="102">
        <f>D238+H238</f>
        <v>16041</v>
      </c>
      <c r="F238" s="21">
        <v>16041</v>
      </c>
      <c r="G238" s="102">
        <f>F238-E238</f>
        <v>0</v>
      </c>
      <c r="H238" s="102">
        <v>16041</v>
      </c>
      <c r="I238" s="102"/>
      <c r="J238" s="20"/>
      <c r="K238" s="20"/>
      <c r="L238" s="102"/>
      <c r="M238" s="50"/>
      <c r="Q238" s="102">
        <v>16041</v>
      </c>
      <c r="R238" s="55">
        <f t="shared" si="33"/>
        <v>16041</v>
      </c>
    </row>
    <row r="239" spans="1:18" ht="30" customHeight="1">
      <c r="A239" s="24"/>
      <c r="B239" s="75" t="s">
        <v>22</v>
      </c>
      <c r="C239" s="22"/>
      <c r="D239" s="102"/>
      <c r="E239" s="102">
        <f>D239+H239</f>
        <v>2830.8</v>
      </c>
      <c r="F239" s="102">
        <v>2830.8</v>
      </c>
      <c r="G239" s="102">
        <f>F239-E239</f>
        <v>0</v>
      </c>
      <c r="H239" s="102">
        <v>2830.8</v>
      </c>
      <c r="I239" s="102"/>
      <c r="J239" s="20"/>
      <c r="K239" s="20"/>
      <c r="L239" s="102"/>
      <c r="M239" s="50"/>
      <c r="Q239" s="102">
        <v>2830.8</v>
      </c>
      <c r="R239" s="55">
        <f t="shared" si="33"/>
        <v>2830.8</v>
      </c>
    </row>
    <row r="240" spans="1:18" ht="93" customHeight="1">
      <c r="A240" s="32">
        <v>26</v>
      </c>
      <c r="B240" s="27" t="s">
        <v>142</v>
      </c>
      <c r="C240" s="24" t="s">
        <v>17</v>
      </c>
      <c r="D240" s="102">
        <f>SUM(D242:D243)</f>
        <v>0</v>
      </c>
      <c r="E240" s="102">
        <f>SUM(E242:E243)</f>
        <v>15541.5</v>
      </c>
      <c r="F240" s="102">
        <f>SUM(F242:F243)</f>
        <v>15541.5</v>
      </c>
      <c r="G240" s="102"/>
      <c r="H240" s="102">
        <f>SUM(H242:H243)</f>
        <v>15541.5</v>
      </c>
      <c r="I240" s="81" t="s">
        <v>19</v>
      </c>
      <c r="J240" s="20"/>
      <c r="K240" s="20"/>
      <c r="L240" s="102"/>
      <c r="M240" s="50"/>
      <c r="Q240" s="102">
        <f>SUM(Q242:Q243)</f>
        <v>15541.5</v>
      </c>
      <c r="R240" s="55">
        <f t="shared" si="33"/>
        <v>15541.5</v>
      </c>
    </row>
    <row r="241" spans="1:18" ht="30" customHeight="1">
      <c r="A241" s="32"/>
      <c r="B241" s="75" t="s">
        <v>20</v>
      </c>
      <c r="C241" s="24"/>
      <c r="D241" s="102"/>
      <c r="E241" s="102"/>
      <c r="F241" s="102"/>
      <c r="G241" s="102"/>
      <c r="H241" s="102"/>
      <c r="I241" s="102"/>
      <c r="J241" s="20"/>
      <c r="K241" s="20"/>
      <c r="L241" s="102"/>
      <c r="M241" s="50"/>
      <c r="Q241" s="102"/>
      <c r="R241" s="55">
        <f t="shared" si="33"/>
        <v>0</v>
      </c>
    </row>
    <row r="242" spans="1:18" ht="30" customHeight="1">
      <c r="A242" s="32"/>
      <c r="B242" s="76" t="s">
        <v>21</v>
      </c>
      <c r="C242" s="24"/>
      <c r="D242" s="102"/>
      <c r="E242" s="102">
        <f>D242+H242</f>
        <v>13210.3</v>
      </c>
      <c r="F242" s="102">
        <v>13210.3</v>
      </c>
      <c r="G242" s="102">
        <f>F242-E242</f>
        <v>0</v>
      </c>
      <c r="H242" s="102">
        <v>13210.3</v>
      </c>
      <c r="I242" s="102"/>
      <c r="J242" s="20"/>
      <c r="K242" s="20"/>
      <c r="L242" s="102"/>
      <c r="M242" s="50"/>
      <c r="Q242" s="102">
        <v>13210.3</v>
      </c>
      <c r="R242" s="55">
        <f t="shared" si="33"/>
        <v>13210.3</v>
      </c>
    </row>
    <row r="243" spans="1:18" ht="30" customHeight="1">
      <c r="A243" s="24"/>
      <c r="B243" s="75" t="s">
        <v>22</v>
      </c>
      <c r="C243" s="22"/>
      <c r="D243" s="102"/>
      <c r="E243" s="102">
        <f>D243+H243</f>
        <v>2331.2</v>
      </c>
      <c r="F243" s="102">
        <v>2331.2</v>
      </c>
      <c r="G243" s="102">
        <f>F243-E243</f>
        <v>0</v>
      </c>
      <c r="H243" s="102">
        <v>2331.2</v>
      </c>
      <c r="I243" s="102"/>
      <c r="J243" s="20"/>
      <c r="K243" s="20"/>
      <c r="L243" s="102"/>
      <c r="M243" s="50"/>
      <c r="Q243" s="102">
        <v>2331.2</v>
      </c>
      <c r="R243" s="55">
        <f t="shared" si="33"/>
        <v>2331.2</v>
      </c>
    </row>
    <row r="244" spans="1:18" ht="72.75" customHeight="1">
      <c r="A244" s="32">
        <v>27</v>
      </c>
      <c r="B244" s="27" t="s">
        <v>143</v>
      </c>
      <c r="C244" s="24" t="s">
        <v>17</v>
      </c>
      <c r="D244" s="102">
        <f>SUM(D246:D247)</f>
        <v>0</v>
      </c>
      <c r="E244" s="102">
        <f>SUM(E246:E247)</f>
        <v>18871.8</v>
      </c>
      <c r="F244" s="102">
        <f>SUM(F246:F247)</f>
        <v>18871.8</v>
      </c>
      <c r="G244" s="102"/>
      <c r="H244" s="102">
        <f>SUM(H246:H247)</f>
        <v>18871.8</v>
      </c>
      <c r="I244" s="81" t="s">
        <v>19</v>
      </c>
      <c r="J244" s="20"/>
      <c r="K244" s="20"/>
      <c r="L244" s="102"/>
      <c r="M244" s="50"/>
      <c r="Q244" s="102">
        <f>SUM(Q246:Q247)</f>
        <v>18871.8</v>
      </c>
      <c r="R244" s="55">
        <f t="shared" si="33"/>
        <v>18871.8</v>
      </c>
    </row>
    <row r="245" spans="1:18" ht="21" customHeight="1">
      <c r="A245" s="32"/>
      <c r="B245" s="75" t="s">
        <v>20</v>
      </c>
      <c r="C245" s="24"/>
      <c r="D245" s="102"/>
      <c r="E245" s="102"/>
      <c r="F245" s="102"/>
      <c r="G245" s="102"/>
      <c r="H245" s="102"/>
      <c r="I245" s="102"/>
      <c r="J245" s="20"/>
      <c r="K245" s="20"/>
      <c r="L245" s="102"/>
      <c r="M245" s="50"/>
      <c r="Q245" s="102"/>
      <c r="R245" s="55">
        <f t="shared" si="33"/>
        <v>0</v>
      </c>
    </row>
    <row r="246" spans="1:18" ht="30" customHeight="1">
      <c r="A246" s="32"/>
      <c r="B246" s="76" t="s">
        <v>21</v>
      </c>
      <c r="C246" s="24"/>
      <c r="D246" s="102"/>
      <c r="E246" s="102">
        <f>D246+H246</f>
        <v>16041</v>
      </c>
      <c r="F246" s="21">
        <v>16041</v>
      </c>
      <c r="G246" s="102">
        <f>F246-E246</f>
        <v>0</v>
      </c>
      <c r="H246" s="102">
        <v>16041</v>
      </c>
      <c r="I246" s="102"/>
      <c r="J246" s="20"/>
      <c r="K246" s="20"/>
      <c r="L246" s="102"/>
      <c r="M246" s="50"/>
      <c r="Q246" s="102">
        <v>16041</v>
      </c>
      <c r="R246" s="55">
        <f t="shared" si="33"/>
        <v>16041</v>
      </c>
    </row>
    <row r="247" spans="1:18" ht="30" customHeight="1">
      <c r="A247" s="24"/>
      <c r="B247" s="75" t="s">
        <v>22</v>
      </c>
      <c r="C247" s="22"/>
      <c r="D247" s="102"/>
      <c r="E247" s="102">
        <f>D247+H247</f>
        <v>2830.8</v>
      </c>
      <c r="F247" s="102">
        <v>2830.8</v>
      </c>
      <c r="G247" s="102">
        <f>F247-E247</f>
        <v>0</v>
      </c>
      <c r="H247" s="102">
        <v>2830.8</v>
      </c>
      <c r="I247" s="102"/>
      <c r="J247" s="20"/>
      <c r="K247" s="20"/>
      <c r="L247" s="102"/>
      <c r="M247" s="50"/>
      <c r="Q247" s="102">
        <v>2830.8</v>
      </c>
      <c r="R247" s="55">
        <f t="shared" si="33"/>
        <v>2830.8</v>
      </c>
    </row>
    <row r="248" spans="1:18" ht="53.25" customHeight="1">
      <c r="A248" s="24" t="s">
        <v>92</v>
      </c>
      <c r="B248" s="27" t="s">
        <v>144</v>
      </c>
      <c r="C248" s="24" t="s">
        <v>17</v>
      </c>
      <c r="D248" s="102">
        <f>SUM(D250:D251)</f>
        <v>0</v>
      </c>
      <c r="E248" s="102">
        <f>SUM(E250:E251)</f>
        <v>11764.6</v>
      </c>
      <c r="F248" s="102">
        <f>SUM(F250:F251)</f>
        <v>11764.6</v>
      </c>
      <c r="G248" s="102"/>
      <c r="H248" s="102">
        <f>SUM(H250:H251)</f>
        <v>11764.6</v>
      </c>
      <c r="I248" s="81" t="s">
        <v>19</v>
      </c>
      <c r="J248" s="20"/>
      <c r="K248" s="20"/>
      <c r="L248" s="102"/>
      <c r="M248" s="50"/>
      <c r="Q248" s="102">
        <f>SUM(Q250:Q251)</f>
        <v>11764.6</v>
      </c>
      <c r="R248" s="55">
        <f t="shared" si="33"/>
        <v>11764.6</v>
      </c>
    </row>
    <row r="249" spans="1:18" ht="21" customHeight="1">
      <c r="A249" s="24"/>
      <c r="B249" s="75" t="s">
        <v>20</v>
      </c>
      <c r="C249" s="22"/>
      <c r="D249" s="102"/>
      <c r="E249" s="102"/>
      <c r="F249" s="102"/>
      <c r="G249" s="102"/>
      <c r="H249" s="102"/>
      <c r="I249" s="102"/>
      <c r="J249" s="20"/>
      <c r="K249" s="20"/>
      <c r="L249" s="102"/>
      <c r="M249" s="50"/>
      <c r="Q249" s="102"/>
      <c r="R249" s="55">
        <f t="shared" si="33"/>
        <v>0</v>
      </c>
    </row>
    <row r="250" spans="1:18" ht="30" customHeight="1">
      <c r="A250" s="24"/>
      <c r="B250" s="76" t="s">
        <v>21</v>
      </c>
      <c r="C250" s="22"/>
      <c r="D250" s="102"/>
      <c r="E250" s="102">
        <f>D250+H250</f>
        <v>10000</v>
      </c>
      <c r="F250" s="21">
        <v>10000</v>
      </c>
      <c r="G250" s="102">
        <f>F250-E250</f>
        <v>0</v>
      </c>
      <c r="H250" s="102">
        <v>10000</v>
      </c>
      <c r="I250" s="102"/>
      <c r="J250" s="20"/>
      <c r="K250" s="20"/>
      <c r="L250" s="102"/>
      <c r="M250" s="50"/>
      <c r="Q250" s="102">
        <v>10000</v>
      </c>
      <c r="R250" s="55">
        <f t="shared" si="33"/>
        <v>10000</v>
      </c>
    </row>
    <row r="251" spans="1:18" ht="30" customHeight="1">
      <c r="A251" s="24"/>
      <c r="B251" s="75" t="s">
        <v>22</v>
      </c>
      <c r="C251" s="22"/>
      <c r="D251" s="102"/>
      <c r="E251" s="102">
        <f>D251+H251</f>
        <v>1764.6</v>
      </c>
      <c r="F251" s="102">
        <v>1764.6</v>
      </c>
      <c r="G251" s="102">
        <f>F251-E251</f>
        <v>0</v>
      </c>
      <c r="H251" s="102">
        <v>1764.6</v>
      </c>
      <c r="I251" s="102"/>
      <c r="J251" s="20"/>
      <c r="K251" s="20"/>
      <c r="L251" s="102"/>
      <c r="M251" s="50"/>
      <c r="Q251" s="102">
        <v>1764.6</v>
      </c>
      <c r="R251" s="55">
        <f t="shared" si="33"/>
        <v>1764.6</v>
      </c>
    </row>
    <row r="252" spans="1:18" ht="39" customHeight="1">
      <c r="A252" s="24"/>
      <c r="B252" s="29" t="s">
        <v>16</v>
      </c>
      <c r="C252" s="22" t="s">
        <v>17</v>
      </c>
      <c r="D252" s="103">
        <f>D268+D272+D276+D280+D260+D256</f>
        <v>0</v>
      </c>
      <c r="E252" s="103">
        <f>E268+E272+E276+E280+E260+E256</f>
        <v>2078259</v>
      </c>
      <c r="F252" s="103">
        <f>F268+F272+F276+F280+F260+F256</f>
        <v>2117655.5</v>
      </c>
      <c r="G252" s="103">
        <f>G268+G272+G276+G280+G260+G256</f>
        <v>0</v>
      </c>
      <c r="H252" s="103">
        <f>H268+H272+H276+H280+H260+H256</f>
        <v>2078259</v>
      </c>
      <c r="I252" s="103"/>
      <c r="J252" s="103">
        <f>J268+J272+J276+J280+J260+J256</f>
        <v>2255294.3</v>
      </c>
      <c r="K252" s="103">
        <f>K268+K272+K276+K280+K260+K256</f>
        <v>2255294.3</v>
      </c>
      <c r="L252" s="103">
        <f>L268+L272+L276+L280+L260+L256</f>
        <v>600831.3</v>
      </c>
      <c r="M252" s="46"/>
      <c r="Q252" s="103">
        <f>Q268+Q272+Q276+Q280+Q260+Q256</f>
        <v>2078259</v>
      </c>
      <c r="R252" s="55">
        <f t="shared" si="33"/>
        <v>2078259</v>
      </c>
    </row>
    <row r="253" spans="1:18" ht="23.25" customHeight="1">
      <c r="A253" s="77"/>
      <c r="B253" s="78" t="s">
        <v>20</v>
      </c>
      <c r="C253" s="22"/>
      <c r="D253" s="103"/>
      <c r="E253" s="103"/>
      <c r="F253" s="103"/>
      <c r="G253" s="103"/>
      <c r="H253" s="103"/>
      <c r="I253" s="26"/>
      <c r="J253" s="15"/>
      <c r="K253" s="15"/>
      <c r="L253" s="26"/>
      <c r="M253" s="45"/>
      <c r="Q253" s="103"/>
      <c r="R253" s="55">
        <f t="shared" si="33"/>
        <v>0</v>
      </c>
    </row>
    <row r="254" spans="1:18" ht="24" customHeight="1">
      <c r="A254" s="77"/>
      <c r="B254" s="79" t="s">
        <v>21</v>
      </c>
      <c r="C254" s="22" t="s">
        <v>17</v>
      </c>
      <c r="D254" s="103">
        <f aca="true" t="shared" si="34" ref="D254:H255">D270+D274+D278+D282+D258+D262</f>
        <v>0</v>
      </c>
      <c r="E254" s="103">
        <f t="shared" si="34"/>
        <v>850000</v>
      </c>
      <c r="F254" s="26">
        <f t="shared" si="34"/>
        <v>850000</v>
      </c>
      <c r="G254" s="103">
        <f t="shared" si="34"/>
        <v>0</v>
      </c>
      <c r="H254" s="103">
        <f t="shared" si="34"/>
        <v>850000</v>
      </c>
      <c r="I254" s="26"/>
      <c r="J254" s="15">
        <f aca="true" t="shared" si="35" ref="J254:L255">J270+J274+J278+J282+J258+J262</f>
        <v>1587408.44</v>
      </c>
      <c r="K254" s="15">
        <f t="shared" si="35"/>
        <v>1587408.44</v>
      </c>
      <c r="L254" s="26">
        <f t="shared" si="35"/>
        <v>0</v>
      </c>
      <c r="M254" s="45"/>
      <c r="Q254" s="103">
        <f>Q270+Q274+Q278+Q282+Q258+Q262</f>
        <v>850000</v>
      </c>
      <c r="R254" s="55">
        <f t="shared" si="33"/>
        <v>850000</v>
      </c>
    </row>
    <row r="255" spans="1:18" ht="26.25" customHeight="1">
      <c r="A255" s="77"/>
      <c r="B255" s="78" t="s">
        <v>22</v>
      </c>
      <c r="C255" s="22" t="s">
        <v>17</v>
      </c>
      <c r="D255" s="103">
        <f t="shared" si="34"/>
        <v>0</v>
      </c>
      <c r="E255" s="103">
        <f t="shared" si="34"/>
        <v>1228259</v>
      </c>
      <c r="F255" s="103">
        <f>F271+F275+F279+F283+F259+F263</f>
        <v>1267655.5</v>
      </c>
      <c r="G255" s="103">
        <f t="shared" si="34"/>
        <v>39396.5</v>
      </c>
      <c r="H255" s="103">
        <f t="shared" si="34"/>
        <v>1228259</v>
      </c>
      <c r="I255" s="26"/>
      <c r="J255" s="15">
        <f t="shared" si="35"/>
        <v>667885.8600000001</v>
      </c>
      <c r="K255" s="15">
        <f t="shared" si="35"/>
        <v>667885.8600000001</v>
      </c>
      <c r="L255" s="26">
        <f t="shared" si="35"/>
        <v>600831.3</v>
      </c>
      <c r="M255" s="45"/>
      <c r="Q255" s="103">
        <f>Q271+Q275+Q279+Q283+Q259+Q263</f>
        <v>1228259</v>
      </c>
      <c r="R255" s="55">
        <f t="shared" si="33"/>
        <v>1228259</v>
      </c>
    </row>
    <row r="256" spans="1:18" ht="51" customHeight="1">
      <c r="A256" s="77" t="s">
        <v>93</v>
      </c>
      <c r="B256" s="27" t="s">
        <v>164</v>
      </c>
      <c r="C256" s="24" t="s">
        <v>17</v>
      </c>
      <c r="D256" s="102">
        <f>SUM(D259)</f>
        <v>0</v>
      </c>
      <c r="E256" s="102">
        <f>SUM(E259)</f>
        <v>133945.4</v>
      </c>
      <c r="F256" s="102">
        <f>SUM(F259)</f>
        <v>133945.4</v>
      </c>
      <c r="G256" s="102"/>
      <c r="H256" s="102">
        <f>SUM(H259)</f>
        <v>133945.4</v>
      </c>
      <c r="I256" s="81" t="s">
        <v>19</v>
      </c>
      <c r="J256" s="20">
        <f>SUM(J259)</f>
        <v>106760.67</v>
      </c>
      <c r="K256" s="20">
        <f>SUM(K259)</f>
        <v>106760.67</v>
      </c>
      <c r="L256" s="102">
        <f>SUM(L259)</f>
        <v>60000</v>
      </c>
      <c r="M256" s="50"/>
      <c r="Q256" s="102">
        <f>SUM(Q259)</f>
        <v>133945.4</v>
      </c>
      <c r="R256" s="55">
        <f t="shared" si="33"/>
        <v>133945.4</v>
      </c>
    </row>
    <row r="257" spans="1:18" ht="27.75" customHeight="1">
      <c r="A257" s="22"/>
      <c r="B257" s="75" t="s">
        <v>20</v>
      </c>
      <c r="C257" s="22"/>
      <c r="D257" s="103"/>
      <c r="E257" s="103"/>
      <c r="F257" s="103"/>
      <c r="G257" s="103"/>
      <c r="H257" s="103"/>
      <c r="I257" s="82"/>
      <c r="J257" s="15"/>
      <c r="K257" s="15"/>
      <c r="L257" s="82"/>
      <c r="M257" s="58"/>
      <c r="Q257" s="103"/>
      <c r="R257" s="55">
        <f t="shared" si="33"/>
        <v>0</v>
      </c>
    </row>
    <row r="258" spans="1:18" ht="27.75" customHeight="1" hidden="1">
      <c r="A258" s="22"/>
      <c r="B258" s="76" t="s">
        <v>21</v>
      </c>
      <c r="C258" s="22"/>
      <c r="D258" s="102"/>
      <c r="E258" s="102"/>
      <c r="F258" s="102"/>
      <c r="G258" s="102">
        <f>F258-E258</f>
        <v>0</v>
      </c>
      <c r="H258" s="102"/>
      <c r="I258" s="41"/>
      <c r="J258" s="20"/>
      <c r="K258" s="20"/>
      <c r="L258" s="41"/>
      <c r="M258" s="57"/>
      <c r="Q258" s="102"/>
      <c r="R258" s="55">
        <f t="shared" si="33"/>
        <v>0</v>
      </c>
    </row>
    <row r="259" spans="1:18" ht="27.75" customHeight="1">
      <c r="A259" s="22"/>
      <c r="B259" s="75" t="s">
        <v>22</v>
      </c>
      <c r="C259" s="22"/>
      <c r="D259" s="102"/>
      <c r="E259" s="102">
        <f>D259+H259</f>
        <v>133945.4</v>
      </c>
      <c r="F259" s="102">
        <f>123631.4+10314</f>
        <v>133945.4</v>
      </c>
      <c r="G259" s="102">
        <f>F259-E259</f>
        <v>0</v>
      </c>
      <c r="H259" s="102">
        <f>123631.4+10314</f>
        <v>133945.4</v>
      </c>
      <c r="I259" s="102"/>
      <c r="J259" s="20">
        <v>106760.67</v>
      </c>
      <c r="K259" s="20">
        <v>106760.67</v>
      </c>
      <c r="L259" s="102">
        <v>60000</v>
      </c>
      <c r="M259" s="50"/>
      <c r="Q259" s="102">
        <f>123631.4+10314</f>
        <v>133945.4</v>
      </c>
      <c r="R259" s="55">
        <f t="shared" si="33"/>
        <v>133945.4</v>
      </c>
    </row>
    <row r="260" spans="1:18" ht="51.75" customHeight="1">
      <c r="A260" s="77" t="s">
        <v>94</v>
      </c>
      <c r="B260" s="27" t="s">
        <v>163</v>
      </c>
      <c r="C260" s="24" t="s">
        <v>17</v>
      </c>
      <c r="D260" s="102">
        <f>D262+D263</f>
        <v>0</v>
      </c>
      <c r="E260" s="102">
        <f>E262+E263</f>
        <v>114916.9</v>
      </c>
      <c r="F260" s="102">
        <f>F262+F263</f>
        <v>114916.9</v>
      </c>
      <c r="G260" s="102"/>
      <c r="H260" s="102">
        <f>H262+H263</f>
        <v>114916.9</v>
      </c>
      <c r="I260" s="81" t="s">
        <v>19</v>
      </c>
      <c r="J260" s="20">
        <f>J262+J263</f>
        <v>115031.32</v>
      </c>
      <c r="K260" s="20">
        <f>K262+K263</f>
        <v>115031.32</v>
      </c>
      <c r="L260" s="41">
        <f>L262+L263</f>
        <v>118480</v>
      </c>
      <c r="M260" s="57"/>
      <c r="Q260" s="102">
        <f>Q262+Q263</f>
        <v>114916.9</v>
      </c>
      <c r="R260" s="55">
        <f t="shared" si="33"/>
        <v>114916.9</v>
      </c>
    </row>
    <row r="261" spans="1:18" ht="27.75" customHeight="1">
      <c r="A261" s="22"/>
      <c r="B261" s="75" t="s">
        <v>20</v>
      </c>
      <c r="C261" s="22"/>
      <c r="D261" s="103"/>
      <c r="E261" s="103"/>
      <c r="F261" s="103"/>
      <c r="G261" s="103"/>
      <c r="H261" s="103"/>
      <c r="I261" s="82"/>
      <c r="J261" s="15"/>
      <c r="K261" s="15"/>
      <c r="L261" s="82"/>
      <c r="M261" s="58"/>
      <c r="Q261" s="103"/>
      <c r="R261" s="55">
        <f t="shared" si="33"/>
        <v>0</v>
      </c>
    </row>
    <row r="262" spans="1:18" ht="27.75" customHeight="1" hidden="1">
      <c r="A262" s="22"/>
      <c r="B262" s="76" t="s">
        <v>21</v>
      </c>
      <c r="C262" s="22"/>
      <c r="D262" s="102"/>
      <c r="E262" s="102"/>
      <c r="F262" s="102"/>
      <c r="G262" s="102"/>
      <c r="H262" s="102"/>
      <c r="I262" s="41"/>
      <c r="J262" s="20"/>
      <c r="K262" s="20"/>
      <c r="L262" s="41"/>
      <c r="M262" s="57"/>
      <c r="Q262" s="102"/>
      <c r="R262" s="55">
        <f t="shared" si="33"/>
        <v>0</v>
      </c>
    </row>
    <row r="263" spans="1:18" ht="43.5" customHeight="1">
      <c r="A263" s="22"/>
      <c r="B263" s="75" t="s">
        <v>22</v>
      </c>
      <c r="C263" s="22"/>
      <c r="D263" s="102"/>
      <c r="E263" s="102">
        <f>D263+H263</f>
        <v>114916.9</v>
      </c>
      <c r="F263" s="102">
        <f>111118.2+3798.7</f>
        <v>114916.9</v>
      </c>
      <c r="G263" s="102">
        <f>F263-E263</f>
        <v>0</v>
      </c>
      <c r="H263" s="102">
        <f>111118.2+3798.7</f>
        <v>114916.9</v>
      </c>
      <c r="I263" s="41"/>
      <c r="J263" s="20">
        <v>115031.32</v>
      </c>
      <c r="K263" s="20">
        <v>115031.32</v>
      </c>
      <c r="L263" s="41">
        <v>118480</v>
      </c>
      <c r="M263" s="57"/>
      <c r="Q263" s="102">
        <f>111118.2+3798.7</f>
        <v>114916.9</v>
      </c>
      <c r="R263" s="55">
        <f t="shared" si="33"/>
        <v>114916.9</v>
      </c>
    </row>
    <row r="264" spans="1:18" ht="27.75" customHeight="1">
      <c r="A264" s="86"/>
      <c r="B264" s="29" t="s">
        <v>152</v>
      </c>
      <c r="C264" s="22" t="s">
        <v>17</v>
      </c>
      <c r="D264" s="103">
        <f>D266+D267</f>
        <v>0</v>
      </c>
      <c r="E264" s="103">
        <f>E266+E267</f>
        <v>1829396.7000000002</v>
      </c>
      <c r="F264" s="103">
        <f>F266+F267</f>
        <v>1868793.2000000002</v>
      </c>
      <c r="G264" s="103"/>
      <c r="H264" s="103">
        <f>H266+H267</f>
        <v>1829396.7000000002</v>
      </c>
      <c r="I264" s="41"/>
      <c r="J264" s="20"/>
      <c r="K264" s="20"/>
      <c r="L264" s="41"/>
      <c r="M264" s="57"/>
      <c r="Q264" s="103">
        <f>Q266+Q267</f>
        <v>1829396.7000000002</v>
      </c>
      <c r="R264" s="55">
        <f t="shared" si="33"/>
        <v>1829396.7000000002</v>
      </c>
    </row>
    <row r="265" spans="1:18" ht="27.75" customHeight="1">
      <c r="A265" s="86"/>
      <c r="B265" s="78" t="s">
        <v>20</v>
      </c>
      <c r="C265" s="22"/>
      <c r="D265" s="102"/>
      <c r="E265" s="102"/>
      <c r="F265" s="102"/>
      <c r="G265" s="102"/>
      <c r="H265" s="102"/>
      <c r="I265" s="41"/>
      <c r="J265" s="20"/>
      <c r="K265" s="20"/>
      <c r="L265" s="41"/>
      <c r="M265" s="57"/>
      <c r="Q265" s="102"/>
      <c r="R265" s="55">
        <f t="shared" si="33"/>
        <v>0</v>
      </c>
    </row>
    <row r="266" spans="1:18" ht="27.75" customHeight="1">
      <c r="A266" s="86"/>
      <c r="B266" s="79" t="s">
        <v>21</v>
      </c>
      <c r="C266" s="22" t="s">
        <v>17</v>
      </c>
      <c r="D266" s="103">
        <f aca="true" t="shared" si="36" ref="D266:H267">D270+D274+D278+D282</f>
        <v>0</v>
      </c>
      <c r="E266" s="103">
        <f t="shared" si="36"/>
        <v>850000</v>
      </c>
      <c r="F266" s="26">
        <f>F270+F274+F278+F282</f>
        <v>850000</v>
      </c>
      <c r="G266" s="103"/>
      <c r="H266" s="103">
        <f t="shared" si="36"/>
        <v>850000</v>
      </c>
      <c r="I266" s="41"/>
      <c r="J266" s="20"/>
      <c r="K266" s="20"/>
      <c r="L266" s="41"/>
      <c r="M266" s="57"/>
      <c r="Q266" s="103">
        <f>Q270+Q274+Q278+Q282</f>
        <v>850000</v>
      </c>
      <c r="R266" s="55">
        <f t="shared" si="33"/>
        <v>850000</v>
      </c>
    </row>
    <row r="267" spans="1:18" ht="27.75" customHeight="1">
      <c r="A267" s="86"/>
      <c r="B267" s="78" t="s">
        <v>22</v>
      </c>
      <c r="C267" s="22" t="s">
        <v>17</v>
      </c>
      <c r="D267" s="103">
        <f t="shared" si="36"/>
        <v>0</v>
      </c>
      <c r="E267" s="103">
        <f t="shared" si="36"/>
        <v>979396.7000000001</v>
      </c>
      <c r="F267" s="103">
        <f>F271+F275+F279+F283</f>
        <v>1018793.2000000001</v>
      </c>
      <c r="G267" s="103"/>
      <c r="H267" s="103">
        <f t="shared" si="36"/>
        <v>979396.7000000001</v>
      </c>
      <c r="I267" s="41"/>
      <c r="J267" s="20"/>
      <c r="K267" s="20"/>
      <c r="L267" s="41"/>
      <c r="M267" s="57"/>
      <c r="Q267" s="103">
        <f>Q271+Q275+Q279+Q283</f>
        <v>979396.7000000001</v>
      </c>
      <c r="R267" s="55">
        <f t="shared" si="33"/>
        <v>979396.7000000001</v>
      </c>
    </row>
    <row r="268" spans="1:18" ht="87" customHeight="1">
      <c r="A268" s="77" t="s">
        <v>95</v>
      </c>
      <c r="B268" s="27" t="s">
        <v>106</v>
      </c>
      <c r="C268" s="24" t="s">
        <v>17</v>
      </c>
      <c r="D268" s="102">
        <f>D270+D271</f>
        <v>0</v>
      </c>
      <c r="E268" s="102">
        <f>E270+E271</f>
        <v>246208.5</v>
      </c>
      <c r="F268" s="102">
        <f>F270+F271</f>
        <v>246208.5</v>
      </c>
      <c r="G268" s="102"/>
      <c r="H268" s="102">
        <f>H270+H271</f>
        <v>246208.5</v>
      </c>
      <c r="I268" s="81" t="s">
        <v>19</v>
      </c>
      <c r="J268" s="20">
        <f>J270+J271</f>
        <v>248206.7</v>
      </c>
      <c r="K268" s="20">
        <f>K270+K271</f>
        <v>248206.7</v>
      </c>
      <c r="L268" s="102">
        <f>L270+L271</f>
        <v>77715.2</v>
      </c>
      <c r="M268" s="50"/>
      <c r="Q268" s="102">
        <f>Q270+Q271</f>
        <v>246208.5</v>
      </c>
      <c r="R268" s="55">
        <f t="shared" si="33"/>
        <v>246208.5</v>
      </c>
    </row>
    <row r="269" spans="1:18" ht="27.75" customHeight="1">
      <c r="A269" s="77"/>
      <c r="B269" s="75" t="s">
        <v>20</v>
      </c>
      <c r="C269" s="24"/>
      <c r="D269" s="102"/>
      <c r="E269" s="102"/>
      <c r="F269" s="102"/>
      <c r="G269" s="102"/>
      <c r="H269" s="102"/>
      <c r="I269" s="41"/>
      <c r="J269" s="20"/>
      <c r="K269" s="20"/>
      <c r="L269" s="41"/>
      <c r="M269" s="57"/>
      <c r="Q269" s="102"/>
      <c r="R269" s="55">
        <f t="shared" si="33"/>
        <v>0</v>
      </c>
    </row>
    <row r="270" spans="1:18" ht="27.75" customHeight="1">
      <c r="A270" s="77"/>
      <c r="B270" s="76" t="s">
        <v>21</v>
      </c>
      <c r="C270" s="24"/>
      <c r="D270" s="102"/>
      <c r="E270" s="102">
        <f>D270+H270</f>
        <v>100000</v>
      </c>
      <c r="F270" s="21">
        <v>100000</v>
      </c>
      <c r="G270" s="102">
        <f>F270-E270</f>
        <v>0</v>
      </c>
      <c r="H270" s="102">
        <v>100000</v>
      </c>
      <c r="I270" s="21"/>
      <c r="J270" s="20"/>
      <c r="K270" s="20"/>
      <c r="L270" s="21"/>
      <c r="M270" s="49"/>
      <c r="Q270" s="102">
        <v>100000</v>
      </c>
      <c r="R270" s="55">
        <f t="shared" si="33"/>
        <v>100000</v>
      </c>
    </row>
    <row r="271" spans="1:18" ht="27.75" customHeight="1">
      <c r="A271" s="77"/>
      <c r="B271" s="75" t="s">
        <v>22</v>
      </c>
      <c r="C271" s="24"/>
      <c r="D271" s="102"/>
      <c r="E271" s="102">
        <f>D271+H271</f>
        <v>146208.5</v>
      </c>
      <c r="F271" s="102">
        <f>141566+4642.5</f>
        <v>146208.5</v>
      </c>
      <c r="G271" s="102">
        <f>F271-E271</f>
        <v>0</v>
      </c>
      <c r="H271" s="102">
        <f>141566+4642.5</f>
        <v>146208.5</v>
      </c>
      <c r="I271" s="102"/>
      <c r="J271" s="20">
        <v>248206.7</v>
      </c>
      <c r="K271" s="20">
        <v>248206.7</v>
      </c>
      <c r="L271" s="102">
        <v>77715.2</v>
      </c>
      <c r="M271" s="50"/>
      <c r="Q271" s="102">
        <f>141566+4642.5</f>
        <v>146208.5</v>
      </c>
      <c r="R271" s="55">
        <f t="shared" si="33"/>
        <v>146208.5</v>
      </c>
    </row>
    <row r="272" spans="1:18" ht="57" customHeight="1">
      <c r="A272" s="77" t="s">
        <v>96</v>
      </c>
      <c r="B272" s="80" t="s">
        <v>108</v>
      </c>
      <c r="C272" s="24" t="s">
        <v>17</v>
      </c>
      <c r="D272" s="102">
        <f>D274+D275</f>
        <v>0</v>
      </c>
      <c r="E272" s="102">
        <f>E274+E275</f>
        <v>533920.9</v>
      </c>
      <c r="F272" s="102">
        <f>F274+F275</f>
        <v>533920.9</v>
      </c>
      <c r="G272" s="102"/>
      <c r="H272" s="102">
        <f>H274+H275</f>
        <v>533920.9</v>
      </c>
      <c r="I272" s="81" t="s">
        <v>19</v>
      </c>
      <c r="J272" s="20">
        <f>J274+J275</f>
        <v>577642.36</v>
      </c>
      <c r="K272" s="20">
        <f>K274+K275</f>
        <v>577642.36</v>
      </c>
      <c r="L272" s="102">
        <f>L274+L275</f>
        <v>101667.7</v>
      </c>
      <c r="M272" s="50"/>
      <c r="Q272" s="102">
        <f>Q274+Q275</f>
        <v>533920.9</v>
      </c>
      <c r="R272" s="55">
        <f t="shared" si="33"/>
        <v>533920.9</v>
      </c>
    </row>
    <row r="273" spans="1:18" ht="31.5" customHeight="1">
      <c r="A273" s="77"/>
      <c r="B273" s="75" t="s">
        <v>20</v>
      </c>
      <c r="C273" s="24"/>
      <c r="D273" s="102"/>
      <c r="E273" s="102"/>
      <c r="F273" s="102"/>
      <c r="G273" s="102"/>
      <c r="H273" s="102"/>
      <c r="I273" s="41"/>
      <c r="J273" s="20"/>
      <c r="K273" s="20"/>
      <c r="L273" s="41"/>
      <c r="M273" s="57"/>
      <c r="Q273" s="102"/>
      <c r="R273" s="55">
        <f t="shared" si="33"/>
        <v>0</v>
      </c>
    </row>
    <row r="274" spans="1:18" ht="31.5" customHeight="1">
      <c r="A274" s="77"/>
      <c r="B274" s="76" t="s">
        <v>21</v>
      </c>
      <c r="C274" s="24"/>
      <c r="D274" s="102"/>
      <c r="E274" s="102">
        <f>D274+H274</f>
        <v>250000</v>
      </c>
      <c r="F274" s="21">
        <v>250000</v>
      </c>
      <c r="G274" s="102">
        <f>F274-E274</f>
        <v>0</v>
      </c>
      <c r="H274" s="102">
        <v>250000</v>
      </c>
      <c r="I274" s="21"/>
      <c r="J274" s="20">
        <v>513684.69</v>
      </c>
      <c r="K274" s="20">
        <v>513684.69</v>
      </c>
      <c r="L274" s="21"/>
      <c r="M274" s="49"/>
      <c r="Q274" s="102">
        <v>250000</v>
      </c>
      <c r="R274" s="55">
        <f t="shared" si="33"/>
        <v>250000</v>
      </c>
    </row>
    <row r="275" spans="1:18" ht="31.5" customHeight="1">
      <c r="A275" s="77"/>
      <c r="B275" s="75" t="s">
        <v>22</v>
      </c>
      <c r="C275" s="24"/>
      <c r="D275" s="102"/>
      <c r="E275" s="102">
        <f>D275+H275</f>
        <v>283920.9</v>
      </c>
      <c r="F275" s="102">
        <f>258154.6+25766.3</f>
        <v>283920.9</v>
      </c>
      <c r="G275" s="102">
        <f>F275-E275</f>
        <v>0</v>
      </c>
      <c r="H275" s="102">
        <f>258154.6+25766.3</f>
        <v>283920.9</v>
      </c>
      <c r="I275" s="102"/>
      <c r="J275" s="20">
        <v>63957.67</v>
      </c>
      <c r="K275" s="20">
        <v>63957.67</v>
      </c>
      <c r="L275" s="102">
        <v>101667.7</v>
      </c>
      <c r="M275" s="50"/>
      <c r="Q275" s="102">
        <f>258154.6+25766.3</f>
        <v>283920.9</v>
      </c>
      <c r="R275" s="55">
        <f t="shared" si="33"/>
        <v>283920.9</v>
      </c>
    </row>
    <row r="276" spans="1:18" ht="60" customHeight="1">
      <c r="A276" s="77" t="s">
        <v>97</v>
      </c>
      <c r="B276" s="80" t="s">
        <v>109</v>
      </c>
      <c r="C276" s="24" t="s">
        <v>17</v>
      </c>
      <c r="D276" s="102">
        <f>D278+D279</f>
        <v>0</v>
      </c>
      <c r="E276" s="102">
        <f>E278+E279</f>
        <v>459852.9</v>
      </c>
      <c r="F276" s="102">
        <f>F278+F279</f>
        <v>459852.9</v>
      </c>
      <c r="G276" s="102"/>
      <c r="H276" s="102">
        <f>H278+H279</f>
        <v>459852.9</v>
      </c>
      <c r="I276" s="81" t="s">
        <v>19</v>
      </c>
      <c r="J276" s="20">
        <f>J278+J279</f>
        <v>562706.52</v>
      </c>
      <c r="K276" s="20">
        <f>K278+K279</f>
        <v>562706.52</v>
      </c>
      <c r="L276" s="102">
        <f>L278+L279</f>
        <v>90115.5</v>
      </c>
      <c r="M276" s="50"/>
      <c r="Q276" s="102">
        <f>Q278+Q279</f>
        <v>459852.9</v>
      </c>
      <c r="R276" s="55">
        <f t="shared" si="33"/>
        <v>459852.9</v>
      </c>
    </row>
    <row r="277" spans="1:18" ht="31.5" customHeight="1">
      <c r="A277" s="77"/>
      <c r="B277" s="75" t="s">
        <v>20</v>
      </c>
      <c r="C277" s="24"/>
      <c r="D277" s="102"/>
      <c r="E277" s="102"/>
      <c r="F277" s="102"/>
      <c r="G277" s="102"/>
      <c r="H277" s="102"/>
      <c r="I277" s="41"/>
      <c r="J277" s="20"/>
      <c r="K277" s="20"/>
      <c r="L277" s="41"/>
      <c r="M277" s="57"/>
      <c r="Q277" s="102"/>
      <c r="R277" s="55">
        <f t="shared" si="33"/>
        <v>0</v>
      </c>
    </row>
    <row r="278" spans="1:18" ht="31.5" customHeight="1">
      <c r="A278" s="77"/>
      <c r="B278" s="76" t="s">
        <v>21</v>
      </c>
      <c r="C278" s="24"/>
      <c r="D278" s="102"/>
      <c r="E278" s="102">
        <f>D278+H278</f>
        <v>250000</v>
      </c>
      <c r="F278" s="21">
        <v>250000</v>
      </c>
      <c r="G278" s="102">
        <f>F278-E278</f>
        <v>0</v>
      </c>
      <c r="H278" s="102">
        <v>250000</v>
      </c>
      <c r="I278" s="21"/>
      <c r="J278" s="20">
        <v>500219.37</v>
      </c>
      <c r="K278" s="20">
        <v>500219.37</v>
      </c>
      <c r="L278" s="21"/>
      <c r="M278" s="49"/>
      <c r="Q278" s="102">
        <v>250000</v>
      </c>
      <c r="R278" s="55">
        <f t="shared" si="33"/>
        <v>250000</v>
      </c>
    </row>
    <row r="279" spans="1:18" ht="31.5" customHeight="1">
      <c r="A279" s="77"/>
      <c r="B279" s="75" t="s">
        <v>22</v>
      </c>
      <c r="C279" s="24"/>
      <c r="D279" s="102"/>
      <c r="E279" s="102">
        <f>D279+H279</f>
        <v>209852.9</v>
      </c>
      <c r="F279" s="102">
        <f>173412.8+36440.1</f>
        <v>209852.9</v>
      </c>
      <c r="G279" s="102">
        <f>F279-E279</f>
        <v>0</v>
      </c>
      <c r="H279" s="102">
        <f>173412.8+36440.1</f>
        <v>209852.9</v>
      </c>
      <c r="I279" s="102"/>
      <c r="J279" s="20">
        <v>62487.15</v>
      </c>
      <c r="K279" s="20">
        <v>62487.15</v>
      </c>
      <c r="L279" s="102">
        <v>90115.5</v>
      </c>
      <c r="M279" s="50"/>
      <c r="Q279" s="102">
        <f>173412.8+36440.1</f>
        <v>209852.9</v>
      </c>
      <c r="R279" s="55">
        <f t="shared" si="33"/>
        <v>209852.9</v>
      </c>
    </row>
    <row r="280" spans="1:18" ht="54" customHeight="1">
      <c r="A280" s="77" t="s">
        <v>98</v>
      </c>
      <c r="B280" s="81" t="s">
        <v>107</v>
      </c>
      <c r="C280" s="24" t="s">
        <v>17</v>
      </c>
      <c r="D280" s="102">
        <f>D282+D283</f>
        <v>0</v>
      </c>
      <c r="E280" s="102">
        <f>E282+E283</f>
        <v>589414.4</v>
      </c>
      <c r="F280" s="102">
        <f>F282+F283</f>
        <v>628810.9</v>
      </c>
      <c r="G280" s="102"/>
      <c r="H280" s="102">
        <f>H282+H283</f>
        <v>589414.4</v>
      </c>
      <c r="I280" s="81" t="s">
        <v>19</v>
      </c>
      <c r="J280" s="20">
        <f>J282+J283</f>
        <v>644946.73</v>
      </c>
      <c r="K280" s="20">
        <f>K282+K283</f>
        <v>644946.73</v>
      </c>
      <c r="L280" s="102">
        <f>L282+L283</f>
        <v>152852.9</v>
      </c>
      <c r="M280" s="50"/>
      <c r="Q280" s="102">
        <f>Q282+Q283</f>
        <v>589414.4</v>
      </c>
      <c r="R280" s="55">
        <f t="shared" si="33"/>
        <v>589414.4</v>
      </c>
    </row>
    <row r="281" spans="1:18" ht="27.75" customHeight="1">
      <c r="A281" s="77"/>
      <c r="B281" s="75" t="s">
        <v>20</v>
      </c>
      <c r="C281" s="24"/>
      <c r="D281" s="102"/>
      <c r="E281" s="102"/>
      <c r="F281" s="102"/>
      <c r="G281" s="102"/>
      <c r="H281" s="102"/>
      <c r="I281" s="102"/>
      <c r="J281" s="20"/>
      <c r="K281" s="20"/>
      <c r="L281" s="102"/>
      <c r="M281" s="50"/>
      <c r="Q281" s="102"/>
      <c r="R281" s="55">
        <f t="shared" si="33"/>
        <v>0</v>
      </c>
    </row>
    <row r="282" spans="1:18" ht="27.75" customHeight="1">
      <c r="A282" s="77"/>
      <c r="B282" s="76" t="s">
        <v>21</v>
      </c>
      <c r="C282" s="24"/>
      <c r="D282" s="102"/>
      <c r="E282" s="102">
        <f>D282+H282</f>
        <v>250000</v>
      </c>
      <c r="F282" s="21">
        <v>250000</v>
      </c>
      <c r="G282" s="102">
        <f>F282-E282</f>
        <v>0</v>
      </c>
      <c r="H282" s="102">
        <v>250000</v>
      </c>
      <c r="I282" s="21"/>
      <c r="J282" s="20">
        <v>573504.38</v>
      </c>
      <c r="K282" s="20">
        <v>573504.38</v>
      </c>
      <c r="L282" s="21"/>
      <c r="M282" s="49"/>
      <c r="Q282" s="102">
        <v>250000</v>
      </c>
      <c r="R282" s="55">
        <f t="shared" si="33"/>
        <v>250000</v>
      </c>
    </row>
    <row r="283" spans="1:18" ht="27.75" customHeight="1">
      <c r="A283" s="77"/>
      <c r="B283" s="75" t="s">
        <v>22</v>
      </c>
      <c r="C283" s="24"/>
      <c r="D283" s="102"/>
      <c r="E283" s="102">
        <f>D283+H283</f>
        <v>339414.4</v>
      </c>
      <c r="F283" s="102">
        <f>297096.4+42318+39396.5</f>
        <v>378810.9</v>
      </c>
      <c r="G283" s="102">
        <f>F283-E283</f>
        <v>39396.5</v>
      </c>
      <c r="H283" s="102">
        <f>297096.4+42318</f>
        <v>339414.4</v>
      </c>
      <c r="I283" s="102"/>
      <c r="J283" s="20">
        <v>71442.35</v>
      </c>
      <c r="K283" s="20">
        <v>71442.35</v>
      </c>
      <c r="L283" s="102">
        <v>152852.9</v>
      </c>
      <c r="M283" s="50"/>
      <c r="Q283" s="102">
        <f>297096.4+42318</f>
        <v>339414.4</v>
      </c>
      <c r="R283" s="55">
        <f t="shared" si="33"/>
        <v>339414.4</v>
      </c>
    </row>
    <row r="284" spans="1:18" ht="27.75" customHeight="1">
      <c r="A284" s="22" t="s">
        <v>88</v>
      </c>
      <c r="B284" s="39" t="s">
        <v>5</v>
      </c>
      <c r="C284" s="22" t="s">
        <v>13</v>
      </c>
      <c r="D284" s="103">
        <f aca="true" t="shared" si="37" ref="D284:L285">D285</f>
        <v>0</v>
      </c>
      <c r="E284" s="106">
        <f t="shared" si="37"/>
        <v>39676.14555</v>
      </c>
      <c r="F284" s="104">
        <f>F285</f>
        <v>39676.14555</v>
      </c>
      <c r="G284" s="106">
        <f>G285</f>
        <v>0</v>
      </c>
      <c r="H284" s="106">
        <f t="shared" si="37"/>
        <v>39676.14555</v>
      </c>
      <c r="I284" s="82"/>
      <c r="J284" s="15">
        <f t="shared" si="37"/>
        <v>0</v>
      </c>
      <c r="K284" s="15">
        <f t="shared" si="37"/>
        <v>0</v>
      </c>
      <c r="L284" s="82">
        <f t="shared" si="37"/>
        <v>0</v>
      </c>
      <c r="M284" s="58"/>
      <c r="Q284" s="106">
        <f>Q285</f>
        <v>39676.14555</v>
      </c>
      <c r="R284" s="55">
        <f t="shared" si="33"/>
        <v>39676.14555</v>
      </c>
    </row>
    <row r="285" spans="1:18" ht="27.75" customHeight="1">
      <c r="A285" s="22"/>
      <c r="B285" s="39" t="s">
        <v>28</v>
      </c>
      <c r="C285" s="22" t="s">
        <v>169</v>
      </c>
      <c r="D285" s="103">
        <f t="shared" si="37"/>
        <v>0</v>
      </c>
      <c r="E285" s="106">
        <f t="shared" si="37"/>
        <v>39676.14555</v>
      </c>
      <c r="F285" s="104">
        <f>F286</f>
        <v>39676.14555</v>
      </c>
      <c r="G285" s="106">
        <f>G286</f>
        <v>0</v>
      </c>
      <c r="H285" s="106">
        <f t="shared" si="37"/>
        <v>39676.14555</v>
      </c>
      <c r="I285" s="82"/>
      <c r="J285" s="15">
        <f t="shared" si="37"/>
        <v>0</v>
      </c>
      <c r="K285" s="15">
        <f t="shared" si="37"/>
        <v>0</v>
      </c>
      <c r="L285" s="82">
        <f t="shared" si="37"/>
        <v>0</v>
      </c>
      <c r="M285" s="58"/>
      <c r="Q285" s="106">
        <f>Q286</f>
        <v>39676.14555</v>
      </c>
      <c r="R285" s="55">
        <f t="shared" si="33"/>
        <v>39676.14555</v>
      </c>
    </row>
    <row r="286" spans="1:18" ht="88.5" customHeight="1">
      <c r="A286" s="22"/>
      <c r="B286" s="27" t="s">
        <v>11</v>
      </c>
      <c r="C286" s="22"/>
      <c r="D286" s="103">
        <f>D291+D287</f>
        <v>0</v>
      </c>
      <c r="E286" s="106">
        <f>E291+E287</f>
        <v>39676.14555</v>
      </c>
      <c r="F286" s="104">
        <f>F291+F287</f>
        <v>39676.14555</v>
      </c>
      <c r="G286" s="106">
        <f>G291+G287</f>
        <v>0</v>
      </c>
      <c r="H286" s="106">
        <f>H291+H287</f>
        <v>39676.14555</v>
      </c>
      <c r="I286" s="82"/>
      <c r="J286" s="15">
        <f>J291+J287</f>
        <v>0</v>
      </c>
      <c r="K286" s="15">
        <f>K291+K287</f>
        <v>0</v>
      </c>
      <c r="L286" s="82">
        <f>L291+L287</f>
        <v>0</v>
      </c>
      <c r="M286" s="58"/>
      <c r="Q286" s="106">
        <f>Q291+Q287</f>
        <v>39676.14555</v>
      </c>
      <c r="R286" s="55">
        <f t="shared" si="33"/>
        <v>39676.14555</v>
      </c>
    </row>
    <row r="287" spans="1:18" ht="48.75" customHeight="1">
      <c r="A287" s="24" t="s">
        <v>151</v>
      </c>
      <c r="B287" s="27" t="s">
        <v>57</v>
      </c>
      <c r="C287" s="24" t="s">
        <v>169</v>
      </c>
      <c r="D287" s="102">
        <f>D289+D290</f>
        <v>0</v>
      </c>
      <c r="E287" s="95">
        <f>E289+E290</f>
        <v>39676.14555</v>
      </c>
      <c r="F287" s="105">
        <f>F289+F290</f>
        <v>39676.14555</v>
      </c>
      <c r="G287" s="95"/>
      <c r="H287" s="95">
        <f>H289+H290</f>
        <v>39676.14555</v>
      </c>
      <c r="I287" s="81" t="s">
        <v>7</v>
      </c>
      <c r="J287" s="20">
        <f>J289+J290</f>
        <v>0</v>
      </c>
      <c r="K287" s="20">
        <f>K289+K290</f>
        <v>0</v>
      </c>
      <c r="L287" s="41">
        <f>L289+L290</f>
        <v>0</v>
      </c>
      <c r="M287" s="57"/>
      <c r="Q287" s="95">
        <f>Q289+Q290</f>
        <v>39676.14555</v>
      </c>
      <c r="R287" s="55">
        <f t="shared" si="33"/>
        <v>39676.14555</v>
      </c>
    </row>
    <row r="288" spans="1:18" ht="27.75" customHeight="1">
      <c r="A288" s="24"/>
      <c r="B288" s="76" t="s">
        <v>20</v>
      </c>
      <c r="C288" s="24"/>
      <c r="D288" s="102"/>
      <c r="E288" s="95"/>
      <c r="F288" s="105"/>
      <c r="G288" s="95"/>
      <c r="H288" s="95"/>
      <c r="I288" s="41"/>
      <c r="J288" s="20"/>
      <c r="K288" s="20"/>
      <c r="L288" s="41"/>
      <c r="M288" s="57"/>
      <c r="Q288" s="95"/>
      <c r="R288" s="55">
        <f t="shared" si="33"/>
        <v>0</v>
      </c>
    </row>
    <row r="289" spans="1:18" s="5" customFormat="1" ht="38.25" customHeight="1">
      <c r="A289" s="22"/>
      <c r="B289" s="76" t="s">
        <v>21</v>
      </c>
      <c r="C289" s="24"/>
      <c r="D289" s="102"/>
      <c r="E289" s="95">
        <f>D289+H289</f>
        <v>18368.26209</v>
      </c>
      <c r="F289" s="105">
        <v>18368.26209</v>
      </c>
      <c r="G289" s="95"/>
      <c r="H289" s="95">
        <v>18368.26209</v>
      </c>
      <c r="I289" s="41"/>
      <c r="J289" s="20"/>
      <c r="K289" s="20"/>
      <c r="L289" s="41"/>
      <c r="M289" s="57"/>
      <c r="Q289" s="95">
        <v>18368.26209</v>
      </c>
      <c r="R289" s="55">
        <f t="shared" si="33"/>
        <v>18368.26209</v>
      </c>
    </row>
    <row r="290" spans="1:18" s="5" customFormat="1" ht="41.25" customHeight="1">
      <c r="A290" s="22"/>
      <c r="B290" s="75" t="s">
        <v>22</v>
      </c>
      <c r="C290" s="24"/>
      <c r="D290" s="102"/>
      <c r="E290" s="95">
        <f>D290+H290</f>
        <v>21307.88346</v>
      </c>
      <c r="F290" s="105">
        <v>21307.88346</v>
      </c>
      <c r="G290" s="105"/>
      <c r="H290" s="105">
        <v>21307.88346</v>
      </c>
      <c r="I290" s="20"/>
      <c r="J290" s="20"/>
      <c r="K290" s="20"/>
      <c r="L290" s="20"/>
      <c r="M290" s="48"/>
      <c r="Q290" s="105">
        <v>21307.88346</v>
      </c>
      <c r="R290" s="55">
        <f t="shared" si="33"/>
        <v>21307.88346</v>
      </c>
    </row>
    <row r="291" spans="1:18" ht="33" customHeight="1" hidden="1">
      <c r="A291" s="24" t="s">
        <v>87</v>
      </c>
      <c r="B291" s="27" t="s">
        <v>33</v>
      </c>
      <c r="C291" s="24" t="s">
        <v>9</v>
      </c>
      <c r="D291" s="102"/>
      <c r="E291" s="102"/>
      <c r="F291" s="102"/>
      <c r="G291" s="102"/>
      <c r="H291" s="102"/>
      <c r="I291" s="102"/>
      <c r="J291" s="20"/>
      <c r="K291" s="20"/>
      <c r="L291" s="102"/>
      <c r="M291" s="50"/>
      <c r="Q291" s="102"/>
      <c r="R291" s="55">
        <f t="shared" si="33"/>
        <v>0</v>
      </c>
    </row>
    <row r="292" spans="1:18" ht="30.75" customHeight="1" hidden="1">
      <c r="A292" s="24"/>
      <c r="B292" s="76" t="s">
        <v>20</v>
      </c>
      <c r="C292" s="24"/>
      <c r="D292" s="102"/>
      <c r="E292" s="102"/>
      <c r="F292" s="102"/>
      <c r="G292" s="102"/>
      <c r="H292" s="102"/>
      <c r="I292" s="41"/>
      <c r="J292" s="20"/>
      <c r="K292" s="20"/>
      <c r="L292" s="41"/>
      <c r="M292" s="57"/>
      <c r="Q292" s="102"/>
      <c r="R292" s="55">
        <f t="shared" si="33"/>
        <v>0</v>
      </c>
    </row>
    <row r="293" spans="1:18" s="5" customFormat="1" ht="23.25" customHeight="1" hidden="1">
      <c r="A293" s="22"/>
      <c r="B293" s="81" t="s">
        <v>21</v>
      </c>
      <c r="C293" s="24" t="s">
        <v>9</v>
      </c>
      <c r="D293" s="102"/>
      <c r="E293" s="102"/>
      <c r="F293" s="102"/>
      <c r="G293" s="102"/>
      <c r="H293" s="102"/>
      <c r="I293" s="41"/>
      <c r="J293" s="20"/>
      <c r="K293" s="20"/>
      <c r="L293" s="41"/>
      <c r="M293" s="57"/>
      <c r="Q293" s="102"/>
      <c r="R293" s="55">
        <f t="shared" si="33"/>
        <v>0</v>
      </c>
    </row>
    <row r="294" spans="1:18" s="5" customFormat="1" ht="27.75" customHeight="1">
      <c r="A294" s="22" t="s">
        <v>203</v>
      </c>
      <c r="B294" s="39" t="s">
        <v>224</v>
      </c>
      <c r="C294" s="39">
        <v>1105</v>
      </c>
      <c r="D294" s="103">
        <f>D297+D295</f>
        <v>71600</v>
      </c>
      <c r="E294" s="103">
        <f>E296+E295</f>
        <v>202881.80000000002</v>
      </c>
      <c r="F294" s="103">
        <f>F296+F295</f>
        <v>122754.5</v>
      </c>
      <c r="G294" s="103">
        <f>G296+G295</f>
        <v>-80127.3</v>
      </c>
      <c r="H294" s="103">
        <f>H297+H295</f>
        <v>131281.80000000002</v>
      </c>
      <c r="I294" s="103"/>
      <c r="J294" s="15">
        <f>J297</f>
        <v>27424.51</v>
      </c>
      <c r="K294" s="15">
        <f>K297</f>
        <v>27424.51</v>
      </c>
      <c r="L294" s="103">
        <f>L297</f>
        <v>20000</v>
      </c>
      <c r="M294" s="46"/>
      <c r="Q294" s="103">
        <f>Q297+Q295</f>
        <v>122754.5</v>
      </c>
      <c r="R294" s="55">
        <f t="shared" si="33"/>
        <v>202881.80000000002</v>
      </c>
    </row>
    <row r="295" spans="1:18" s="5" customFormat="1" ht="27.75" customHeight="1" hidden="1">
      <c r="A295" s="22"/>
      <c r="B295" s="76" t="s">
        <v>21</v>
      </c>
      <c r="C295" s="39"/>
      <c r="D295" s="103">
        <f>D302+D306</f>
        <v>68020</v>
      </c>
      <c r="E295" s="103">
        <f>E302+E306</f>
        <v>68020</v>
      </c>
      <c r="F295" s="103">
        <f>F302+F306</f>
        <v>0</v>
      </c>
      <c r="G295" s="103">
        <f>G302+G306</f>
        <v>-68020</v>
      </c>
      <c r="H295" s="103">
        <f>H302+H306</f>
        <v>0</v>
      </c>
      <c r="I295" s="103"/>
      <c r="J295" s="15"/>
      <c r="K295" s="15"/>
      <c r="L295" s="103"/>
      <c r="M295" s="46"/>
      <c r="Q295" s="103">
        <f>Q302+Q306</f>
        <v>0</v>
      </c>
      <c r="R295" s="55">
        <f t="shared" si="33"/>
        <v>68020</v>
      </c>
    </row>
    <row r="296" spans="1:18" s="5" customFormat="1" ht="27.75" customHeight="1">
      <c r="A296" s="22"/>
      <c r="B296" s="75" t="s">
        <v>22</v>
      </c>
      <c r="C296" s="39"/>
      <c r="D296" s="103">
        <f>D303+D307+D312+D320+D341+D345+D349+D353+D357+D361+D365+D324+D328+D336+D316</f>
        <v>3580</v>
      </c>
      <c r="E296" s="103">
        <f>E303+E307+E312+E320+E341+E345+E349+E353+E357+E361+E365+E324+E328+E336+E316+E331</f>
        <v>134861.80000000002</v>
      </c>
      <c r="F296" s="103">
        <f>F303+F307+F312+F320+F341+F345+F349+F353+F357+F361+F365+F324+F328+F336+F316+F331+F369</f>
        <v>122754.5</v>
      </c>
      <c r="G296" s="103">
        <f>G303+G307+G312+G320+G341+G345+G349+G353+G357+G361+G365+G324+G328+G336+G316+G331+G369</f>
        <v>-12107.3</v>
      </c>
      <c r="H296" s="103">
        <f>H303+H307+H312+H320+H341+H345+H349+H353+H357+H361+H365+H324+H328+H336+H316+H331</f>
        <v>131281.80000000002</v>
      </c>
      <c r="I296" s="103"/>
      <c r="J296" s="15">
        <f>J303+J307+J312+J320+J341+J345+J349+J353+J357+J361+J365+J324+J328+J336</f>
        <v>27424.51</v>
      </c>
      <c r="K296" s="15">
        <f>K303+K307+K312+K320+K341+K345+K349+K353+K357+K361+K365+K324+K328+K336</f>
        <v>27424.51</v>
      </c>
      <c r="L296" s="103">
        <f>L303+L307+L312+L320+L341+L345+L349+L353+L357+L361+L365+L324+L328+L336</f>
        <v>20000</v>
      </c>
      <c r="M296" s="46"/>
      <c r="Q296" s="103">
        <f>Q303+Q307+Q312+Q320+Q341+Q345+Q349+Q353+Q357+Q361+Q365+Q324+Q328+Q336+Q316+Q331+Q369</f>
        <v>122754.5</v>
      </c>
      <c r="R296" s="55">
        <f t="shared" si="33"/>
        <v>134861.80000000002</v>
      </c>
    </row>
    <row r="297" spans="1:18" s="5" customFormat="1" ht="51.75" customHeight="1">
      <c r="A297" s="22"/>
      <c r="B297" s="29" t="s">
        <v>51</v>
      </c>
      <c r="C297" s="39" t="s">
        <v>52</v>
      </c>
      <c r="D297" s="103">
        <f>D296</f>
        <v>3580</v>
      </c>
      <c r="E297" s="103">
        <f>E294</f>
        <v>202881.80000000002</v>
      </c>
      <c r="F297" s="103">
        <f>F294</f>
        <v>122754.5</v>
      </c>
      <c r="G297" s="103">
        <f>G294</f>
        <v>-80127.3</v>
      </c>
      <c r="H297" s="103">
        <f>H296</f>
        <v>131281.80000000002</v>
      </c>
      <c r="I297" s="103"/>
      <c r="J297" s="15">
        <f>J296</f>
        <v>27424.51</v>
      </c>
      <c r="K297" s="15">
        <f>K296</f>
        <v>27424.51</v>
      </c>
      <c r="L297" s="103">
        <f>L296</f>
        <v>20000</v>
      </c>
      <c r="M297" s="46"/>
      <c r="Q297" s="103">
        <f>Q296</f>
        <v>122754.5</v>
      </c>
      <c r="R297" s="55">
        <f t="shared" si="33"/>
        <v>134861.80000000002</v>
      </c>
    </row>
    <row r="298" spans="1:18" s="5" customFormat="1" ht="60.75" customHeight="1">
      <c r="A298" s="24"/>
      <c r="B298" s="40" t="s">
        <v>53</v>
      </c>
      <c r="C298" s="39" t="s">
        <v>52</v>
      </c>
      <c r="D298" s="102"/>
      <c r="E298" s="103">
        <f>E294</f>
        <v>202881.80000000002</v>
      </c>
      <c r="F298" s="103">
        <f>F294</f>
        <v>122754.5</v>
      </c>
      <c r="G298" s="103">
        <f>G294</f>
        <v>-80127.3</v>
      </c>
      <c r="H298" s="102"/>
      <c r="I298" s="41"/>
      <c r="J298" s="20"/>
      <c r="K298" s="20"/>
      <c r="L298" s="41"/>
      <c r="M298" s="57"/>
      <c r="Q298" s="102"/>
      <c r="R298" s="55">
        <f t="shared" si="33"/>
        <v>0</v>
      </c>
    </row>
    <row r="299" spans="1:18" s="5" customFormat="1" ht="29.25" customHeight="1" hidden="1">
      <c r="A299" s="24"/>
      <c r="B299" s="40" t="s">
        <v>154</v>
      </c>
      <c r="C299" s="39" t="s">
        <v>52</v>
      </c>
      <c r="D299" s="102"/>
      <c r="E299" s="103">
        <f>E300+E304</f>
        <v>71600</v>
      </c>
      <c r="F299" s="103">
        <f>F300+F304</f>
        <v>0</v>
      </c>
      <c r="G299" s="103">
        <f>G300+G304</f>
        <v>-71600</v>
      </c>
      <c r="H299" s="102"/>
      <c r="I299" s="41"/>
      <c r="J299" s="20"/>
      <c r="K299" s="20"/>
      <c r="L299" s="41"/>
      <c r="M299" s="57"/>
      <c r="Q299" s="102"/>
      <c r="R299" s="55">
        <f t="shared" si="33"/>
        <v>0</v>
      </c>
    </row>
    <row r="300" spans="1:18" s="5" customFormat="1" ht="74.25" customHeight="1" hidden="1">
      <c r="A300" s="24" t="s">
        <v>189</v>
      </c>
      <c r="B300" s="27" t="s">
        <v>147</v>
      </c>
      <c r="C300" s="39" t="s">
        <v>52</v>
      </c>
      <c r="D300" s="102">
        <f>SUM(D303)+D302</f>
        <v>38400</v>
      </c>
      <c r="E300" s="102">
        <f>SUM(E303)+E302</f>
        <v>38400</v>
      </c>
      <c r="F300" s="102">
        <f>SUM(F303)+F302</f>
        <v>0</v>
      </c>
      <c r="G300" s="102">
        <f>F300-E300</f>
        <v>-38400</v>
      </c>
      <c r="H300" s="102">
        <f>SUM(H303)+H302</f>
        <v>0</v>
      </c>
      <c r="I300" s="81" t="s">
        <v>19</v>
      </c>
      <c r="J300" s="20">
        <f>SUM(J303)</f>
        <v>0</v>
      </c>
      <c r="K300" s="20">
        <f>SUM(K303)</f>
        <v>0</v>
      </c>
      <c r="L300" s="102">
        <f>SUM(L303)</f>
        <v>0</v>
      </c>
      <c r="M300" s="50"/>
      <c r="Q300" s="102">
        <f>SUM(Q303)+Q302</f>
        <v>0</v>
      </c>
      <c r="R300" s="55">
        <f aca="true" t="shared" si="38" ref="R300:R328">H300+D300</f>
        <v>38400</v>
      </c>
    </row>
    <row r="301" spans="1:18" s="5" customFormat="1" ht="27" customHeight="1" hidden="1">
      <c r="A301" s="24"/>
      <c r="B301" s="75" t="s">
        <v>20</v>
      </c>
      <c r="C301" s="39" t="s">
        <v>52</v>
      </c>
      <c r="D301" s="102"/>
      <c r="E301" s="102"/>
      <c r="F301" s="102"/>
      <c r="G301" s="102"/>
      <c r="H301" s="102"/>
      <c r="I301" s="21"/>
      <c r="J301" s="20"/>
      <c r="K301" s="20"/>
      <c r="L301" s="21"/>
      <c r="M301" s="49"/>
      <c r="Q301" s="102"/>
      <c r="R301" s="55">
        <f t="shared" si="38"/>
        <v>0</v>
      </c>
    </row>
    <row r="302" spans="1:18" s="5" customFormat="1" ht="29.25" customHeight="1" hidden="1">
      <c r="A302" s="24"/>
      <c r="B302" s="76" t="s">
        <v>21</v>
      </c>
      <c r="C302" s="39" t="s">
        <v>52</v>
      </c>
      <c r="D302" s="102">
        <v>36480</v>
      </c>
      <c r="E302" s="102">
        <f>D302+H302</f>
        <v>36480</v>
      </c>
      <c r="F302" s="102"/>
      <c r="G302" s="102">
        <f>F302-E302</f>
        <v>-36480</v>
      </c>
      <c r="H302" s="102"/>
      <c r="I302" s="21"/>
      <c r="J302" s="20"/>
      <c r="K302" s="20"/>
      <c r="L302" s="21"/>
      <c r="M302" s="49"/>
      <c r="Q302" s="102"/>
      <c r="R302" s="55">
        <f t="shared" si="38"/>
        <v>36480</v>
      </c>
    </row>
    <row r="303" spans="1:18" s="5" customFormat="1" ht="29.25" customHeight="1" hidden="1">
      <c r="A303" s="24"/>
      <c r="B303" s="75" t="s">
        <v>22</v>
      </c>
      <c r="C303" s="39" t="s">
        <v>52</v>
      </c>
      <c r="D303" s="102">
        <v>1920</v>
      </c>
      <c r="E303" s="102">
        <f>D303+H303</f>
        <v>1920</v>
      </c>
      <c r="F303" s="102"/>
      <c r="G303" s="102">
        <f>F303-E303</f>
        <v>-1920</v>
      </c>
      <c r="H303" s="102"/>
      <c r="I303" s="21"/>
      <c r="J303" s="20"/>
      <c r="K303" s="20"/>
      <c r="L303" s="21"/>
      <c r="M303" s="49"/>
      <c r="Q303" s="102"/>
      <c r="R303" s="55">
        <f t="shared" si="38"/>
        <v>1920</v>
      </c>
    </row>
    <row r="304" spans="1:18" s="5" customFormat="1" ht="55.5" customHeight="1" hidden="1">
      <c r="A304" s="24" t="s">
        <v>190</v>
      </c>
      <c r="B304" s="30" t="s">
        <v>55</v>
      </c>
      <c r="C304" s="39" t="s">
        <v>52</v>
      </c>
      <c r="D304" s="102">
        <f>D306+D307</f>
        <v>33200</v>
      </c>
      <c r="E304" s="102">
        <f>E306+E307</f>
        <v>33200</v>
      </c>
      <c r="F304" s="102">
        <f>F306+F307</f>
        <v>0</v>
      </c>
      <c r="G304" s="102">
        <f>F304-E304</f>
        <v>-33200</v>
      </c>
      <c r="H304" s="102">
        <f>H306+H307</f>
        <v>0</v>
      </c>
      <c r="I304" s="81" t="s">
        <v>19</v>
      </c>
      <c r="J304" s="20">
        <f>J306+J307</f>
        <v>0</v>
      </c>
      <c r="K304" s="20">
        <f>K306+K307</f>
        <v>0</v>
      </c>
      <c r="L304" s="21">
        <f>L306+L307</f>
        <v>0</v>
      </c>
      <c r="M304" s="49"/>
      <c r="Q304" s="102">
        <f>Q306+Q307</f>
        <v>0</v>
      </c>
      <c r="R304" s="55">
        <f t="shared" si="38"/>
        <v>33200</v>
      </c>
    </row>
    <row r="305" spans="1:18" s="5" customFormat="1" ht="27" customHeight="1" hidden="1">
      <c r="A305" s="24"/>
      <c r="B305" s="75" t="s">
        <v>20</v>
      </c>
      <c r="C305" s="39" t="s">
        <v>52</v>
      </c>
      <c r="D305" s="102"/>
      <c r="E305" s="102"/>
      <c r="F305" s="102"/>
      <c r="G305" s="102"/>
      <c r="H305" s="102"/>
      <c r="I305" s="21"/>
      <c r="J305" s="20"/>
      <c r="K305" s="20"/>
      <c r="L305" s="21"/>
      <c r="M305" s="49"/>
      <c r="Q305" s="102"/>
      <c r="R305" s="55">
        <f t="shared" si="38"/>
        <v>0</v>
      </c>
    </row>
    <row r="306" spans="1:18" s="5" customFormat="1" ht="29.25" customHeight="1" hidden="1">
      <c r="A306" s="24"/>
      <c r="B306" s="76" t="s">
        <v>21</v>
      </c>
      <c r="C306" s="39" t="s">
        <v>52</v>
      </c>
      <c r="D306" s="102">
        <v>31540</v>
      </c>
      <c r="E306" s="102">
        <f>D306+H306</f>
        <v>31540</v>
      </c>
      <c r="F306" s="102"/>
      <c r="G306" s="102">
        <f>F306-E306</f>
        <v>-31540</v>
      </c>
      <c r="H306" s="102"/>
      <c r="I306" s="21"/>
      <c r="J306" s="20"/>
      <c r="K306" s="20"/>
      <c r="L306" s="21"/>
      <c r="M306" s="49"/>
      <c r="Q306" s="102"/>
      <c r="R306" s="55">
        <f t="shared" si="38"/>
        <v>31540</v>
      </c>
    </row>
    <row r="307" spans="1:18" s="5" customFormat="1" ht="29.25" customHeight="1" hidden="1">
      <c r="A307" s="24"/>
      <c r="B307" s="75" t="s">
        <v>22</v>
      </c>
      <c r="C307" s="39" t="s">
        <v>52</v>
      </c>
      <c r="D307" s="102">
        <v>1660</v>
      </c>
      <c r="E307" s="102">
        <f>D307+H307</f>
        <v>1660</v>
      </c>
      <c r="F307" s="102"/>
      <c r="G307" s="102">
        <f>F307-E307</f>
        <v>-1660</v>
      </c>
      <c r="H307" s="102"/>
      <c r="I307" s="21"/>
      <c r="J307" s="20"/>
      <c r="K307" s="20"/>
      <c r="L307" s="21"/>
      <c r="M307" s="49"/>
      <c r="Q307" s="102"/>
      <c r="R307" s="55">
        <f t="shared" si="38"/>
        <v>1660</v>
      </c>
    </row>
    <row r="308" spans="1:18" s="5" customFormat="1" ht="87" customHeight="1">
      <c r="A308" s="24"/>
      <c r="B308" s="40" t="s">
        <v>155</v>
      </c>
      <c r="C308" s="39" t="s">
        <v>52</v>
      </c>
      <c r="D308" s="103">
        <f>D312+D316+D320+D324+D328</f>
        <v>0</v>
      </c>
      <c r="E308" s="103">
        <f>E312+E316+E320+E324+E328+E331+E336</f>
        <v>99397.50000000001</v>
      </c>
      <c r="F308" s="103">
        <f>F312+F316+F320+F324+F328+F331+F336</f>
        <v>90870.2</v>
      </c>
      <c r="G308" s="103">
        <f>G312+G316+G320+G324+G328+G331+G336</f>
        <v>-8527.300000000001</v>
      </c>
      <c r="H308" s="103">
        <f>H312+H316+H320+H324+H328+H331+H336</f>
        <v>99397.50000000001</v>
      </c>
      <c r="I308" s="21"/>
      <c r="J308" s="20"/>
      <c r="K308" s="20"/>
      <c r="L308" s="21"/>
      <c r="M308" s="49"/>
      <c r="Q308" s="103">
        <f>Q312+Q316+Q320+Q324+Q328+Q331+Q336</f>
        <v>90870.2</v>
      </c>
      <c r="R308" s="55">
        <f t="shared" si="38"/>
        <v>99397.50000000001</v>
      </c>
    </row>
    <row r="309" spans="1:18" s="5" customFormat="1" ht="74.25" customHeight="1">
      <c r="A309" s="24" t="s">
        <v>160</v>
      </c>
      <c r="B309" s="27" t="s">
        <v>147</v>
      </c>
      <c r="C309" s="32" t="s">
        <v>52</v>
      </c>
      <c r="D309" s="102">
        <f>SUM(D312)</f>
        <v>0</v>
      </c>
      <c r="E309" s="102">
        <f>SUM(E312)</f>
        <v>24909.7</v>
      </c>
      <c r="F309" s="102">
        <f>SUM(F312)</f>
        <v>24909.7</v>
      </c>
      <c r="G309" s="102"/>
      <c r="H309" s="102">
        <f>SUM(H312)</f>
        <v>24909.7</v>
      </c>
      <c r="I309" s="81" t="s">
        <v>19</v>
      </c>
      <c r="J309" s="20">
        <f>SUM(J312)</f>
        <v>0</v>
      </c>
      <c r="K309" s="20">
        <f>SUM(K312)</f>
        <v>0</v>
      </c>
      <c r="L309" s="102">
        <f>SUM(L312)</f>
        <v>0</v>
      </c>
      <c r="M309" s="50"/>
      <c r="Q309" s="102">
        <f>SUM(Q312)</f>
        <v>24909.7</v>
      </c>
      <c r="R309" s="55">
        <f t="shared" si="38"/>
        <v>24909.7</v>
      </c>
    </row>
    <row r="310" spans="1:18" s="5" customFormat="1" ht="27" customHeight="1">
      <c r="A310" s="24"/>
      <c r="B310" s="75" t="s">
        <v>20</v>
      </c>
      <c r="C310" s="32"/>
      <c r="D310" s="102"/>
      <c r="E310" s="102"/>
      <c r="F310" s="102"/>
      <c r="G310" s="102"/>
      <c r="H310" s="102"/>
      <c r="I310" s="41"/>
      <c r="J310" s="20"/>
      <c r="K310" s="20"/>
      <c r="L310" s="41"/>
      <c r="M310" s="57"/>
      <c r="Q310" s="102"/>
      <c r="R310" s="55">
        <f t="shared" si="38"/>
        <v>0</v>
      </c>
    </row>
    <row r="311" spans="1:18" s="5" customFormat="1" ht="29.25" customHeight="1" hidden="1">
      <c r="A311" s="24"/>
      <c r="B311" s="76" t="s">
        <v>21</v>
      </c>
      <c r="C311" s="32"/>
      <c r="D311" s="102"/>
      <c r="E311" s="102">
        <f>D311+H311</f>
        <v>0</v>
      </c>
      <c r="F311" s="102"/>
      <c r="G311" s="102"/>
      <c r="H311" s="102"/>
      <c r="I311" s="41"/>
      <c r="J311" s="20"/>
      <c r="K311" s="20"/>
      <c r="L311" s="41"/>
      <c r="M311" s="57"/>
      <c r="Q311" s="102"/>
      <c r="R311" s="55">
        <f t="shared" si="38"/>
        <v>0</v>
      </c>
    </row>
    <row r="312" spans="1:18" s="5" customFormat="1" ht="29.25" customHeight="1">
      <c r="A312" s="24"/>
      <c r="B312" s="75" t="s">
        <v>22</v>
      </c>
      <c r="C312" s="32"/>
      <c r="D312" s="102"/>
      <c r="E312" s="102">
        <f>D312+H312</f>
        <v>24909.7</v>
      </c>
      <c r="F312" s="102">
        <f>23825+1084.7</f>
        <v>24909.7</v>
      </c>
      <c r="G312" s="102"/>
      <c r="H312" s="102">
        <f>23825+1084.7</f>
        <v>24909.7</v>
      </c>
      <c r="I312" s="21"/>
      <c r="J312" s="20"/>
      <c r="K312" s="20"/>
      <c r="L312" s="21"/>
      <c r="M312" s="49"/>
      <c r="Q312" s="102">
        <f>23825+1084.7</f>
        <v>24909.7</v>
      </c>
      <c r="R312" s="55">
        <f t="shared" si="38"/>
        <v>24909.7</v>
      </c>
    </row>
    <row r="313" spans="1:18" s="5" customFormat="1" ht="68.25" customHeight="1">
      <c r="A313" s="24" t="s">
        <v>161</v>
      </c>
      <c r="B313" s="30" t="s">
        <v>146</v>
      </c>
      <c r="C313" s="32">
        <v>1105</v>
      </c>
      <c r="D313" s="102">
        <f>D315+D316</f>
        <v>0</v>
      </c>
      <c r="E313" s="102">
        <f>E315+E316</f>
        <v>22832.4</v>
      </c>
      <c r="F313" s="102">
        <f>F315+F316</f>
        <v>22832.4</v>
      </c>
      <c r="G313" s="102"/>
      <c r="H313" s="102">
        <f>H315+H316</f>
        <v>22832.4</v>
      </c>
      <c r="I313" s="81" t="s">
        <v>19</v>
      </c>
      <c r="J313" s="20"/>
      <c r="K313" s="20"/>
      <c r="L313" s="21"/>
      <c r="M313" s="49"/>
      <c r="Q313" s="102">
        <f>Q315+Q316</f>
        <v>22832.4</v>
      </c>
      <c r="R313" s="55">
        <f t="shared" si="38"/>
        <v>22832.4</v>
      </c>
    </row>
    <row r="314" spans="1:18" s="5" customFormat="1" ht="29.25" customHeight="1">
      <c r="A314" s="24"/>
      <c r="B314" s="75" t="s">
        <v>20</v>
      </c>
      <c r="C314" s="32"/>
      <c r="D314" s="102"/>
      <c r="E314" s="102"/>
      <c r="F314" s="102"/>
      <c r="G314" s="102"/>
      <c r="H314" s="102"/>
      <c r="I314" s="21"/>
      <c r="J314" s="20"/>
      <c r="K314" s="20"/>
      <c r="L314" s="21"/>
      <c r="M314" s="49"/>
      <c r="Q314" s="102"/>
      <c r="R314" s="55">
        <f t="shared" si="38"/>
        <v>0</v>
      </c>
    </row>
    <row r="315" spans="1:18" s="5" customFormat="1" ht="29.25" customHeight="1" hidden="1">
      <c r="A315" s="24"/>
      <c r="B315" s="76" t="s">
        <v>21</v>
      </c>
      <c r="C315" s="32"/>
      <c r="D315" s="102"/>
      <c r="E315" s="102">
        <f>D315+H315</f>
        <v>0</v>
      </c>
      <c r="F315" s="102"/>
      <c r="G315" s="102"/>
      <c r="H315" s="102"/>
      <c r="I315" s="21"/>
      <c r="J315" s="20"/>
      <c r="K315" s="20"/>
      <c r="L315" s="21"/>
      <c r="M315" s="49"/>
      <c r="Q315" s="102"/>
      <c r="R315" s="55">
        <f t="shared" si="38"/>
        <v>0</v>
      </c>
    </row>
    <row r="316" spans="1:18" s="5" customFormat="1" ht="29.25" customHeight="1">
      <c r="A316" s="24"/>
      <c r="B316" s="75" t="s">
        <v>22</v>
      </c>
      <c r="C316" s="32"/>
      <c r="D316" s="102"/>
      <c r="E316" s="102">
        <f>D316+H316</f>
        <v>22832.4</v>
      </c>
      <c r="F316" s="102">
        <f>7160.4+15672</f>
        <v>22832.4</v>
      </c>
      <c r="G316" s="102"/>
      <c r="H316" s="102">
        <f>7160.4+15672</f>
        <v>22832.4</v>
      </c>
      <c r="I316" s="21"/>
      <c r="J316" s="20"/>
      <c r="K316" s="20"/>
      <c r="L316" s="21"/>
      <c r="M316" s="49"/>
      <c r="Q316" s="102">
        <f>7160.4+15672</f>
        <v>22832.4</v>
      </c>
      <c r="R316" s="55">
        <f t="shared" si="38"/>
        <v>22832.4</v>
      </c>
    </row>
    <row r="317" spans="1:18" s="5" customFormat="1" ht="63" customHeight="1">
      <c r="A317" s="24" t="s">
        <v>162</v>
      </c>
      <c r="B317" s="27" t="s">
        <v>110</v>
      </c>
      <c r="C317" s="32" t="s">
        <v>52</v>
      </c>
      <c r="D317" s="102">
        <f>SUM(D320)</f>
        <v>0</v>
      </c>
      <c r="E317" s="102">
        <f>SUM(E320)</f>
        <v>6604.2</v>
      </c>
      <c r="F317" s="102">
        <f>SUM(F320)</f>
        <v>6604.2</v>
      </c>
      <c r="G317" s="102"/>
      <c r="H317" s="102">
        <f>SUM(H320)</f>
        <v>6604.2</v>
      </c>
      <c r="I317" s="81" t="s">
        <v>19</v>
      </c>
      <c r="J317" s="20">
        <f>SUM(J320)</f>
        <v>0</v>
      </c>
      <c r="K317" s="20">
        <f>SUM(K320)</f>
        <v>0</v>
      </c>
      <c r="L317" s="102">
        <f>SUM(L320)</f>
        <v>0</v>
      </c>
      <c r="M317" s="50"/>
      <c r="Q317" s="102">
        <f>SUM(Q320)</f>
        <v>6604.2</v>
      </c>
      <c r="R317" s="55">
        <f t="shared" si="38"/>
        <v>6604.2</v>
      </c>
    </row>
    <row r="318" spans="1:18" s="5" customFormat="1" ht="27" customHeight="1">
      <c r="A318" s="24"/>
      <c r="B318" s="75" t="s">
        <v>20</v>
      </c>
      <c r="C318" s="32"/>
      <c r="D318" s="102"/>
      <c r="E318" s="102"/>
      <c r="F318" s="102"/>
      <c r="G318" s="102"/>
      <c r="H318" s="102"/>
      <c r="I318" s="21"/>
      <c r="J318" s="48"/>
      <c r="K318" s="48"/>
      <c r="L318" s="49"/>
      <c r="M318" s="49"/>
      <c r="Q318" s="102"/>
      <c r="R318" s="55">
        <f t="shared" si="38"/>
        <v>0</v>
      </c>
    </row>
    <row r="319" spans="1:18" s="5" customFormat="1" ht="29.25" customHeight="1" hidden="1">
      <c r="A319" s="24"/>
      <c r="B319" s="76" t="s">
        <v>21</v>
      </c>
      <c r="C319" s="32"/>
      <c r="D319" s="102"/>
      <c r="E319" s="102">
        <f>D319+H319</f>
        <v>0</v>
      </c>
      <c r="F319" s="102"/>
      <c r="G319" s="102"/>
      <c r="H319" s="102"/>
      <c r="I319" s="21"/>
      <c r="J319" s="48"/>
      <c r="K319" s="48"/>
      <c r="L319" s="49"/>
      <c r="M319" s="49"/>
      <c r="Q319" s="102"/>
      <c r="R319" s="55">
        <f t="shared" si="38"/>
        <v>0</v>
      </c>
    </row>
    <row r="320" spans="1:18" s="5" customFormat="1" ht="29.25" customHeight="1">
      <c r="A320" s="24"/>
      <c r="B320" s="75" t="s">
        <v>22</v>
      </c>
      <c r="C320" s="32"/>
      <c r="D320" s="102"/>
      <c r="E320" s="102">
        <f>D320+H320</f>
        <v>6604.2</v>
      </c>
      <c r="F320" s="102">
        <v>6604.2</v>
      </c>
      <c r="G320" s="102"/>
      <c r="H320" s="102">
        <v>6604.2</v>
      </c>
      <c r="I320" s="21"/>
      <c r="J320" s="48"/>
      <c r="K320" s="48"/>
      <c r="L320" s="49"/>
      <c r="M320" s="49"/>
      <c r="Q320" s="102">
        <v>6604.2</v>
      </c>
      <c r="R320" s="55">
        <f t="shared" si="38"/>
        <v>6604.2</v>
      </c>
    </row>
    <row r="321" spans="1:18" s="5" customFormat="1" ht="60" customHeight="1">
      <c r="A321" s="24" t="s">
        <v>189</v>
      </c>
      <c r="B321" s="30" t="s">
        <v>77</v>
      </c>
      <c r="C321" s="32" t="s">
        <v>52</v>
      </c>
      <c r="D321" s="102">
        <f>SUM(D324)</f>
        <v>0</v>
      </c>
      <c r="E321" s="102">
        <f>SUM(E324)</f>
        <v>6862.3</v>
      </c>
      <c r="F321" s="102">
        <f>SUM(F324)</f>
        <v>6862.3</v>
      </c>
      <c r="G321" s="102"/>
      <c r="H321" s="102">
        <f>SUM(H324)</f>
        <v>6862.3</v>
      </c>
      <c r="I321" s="28" t="s">
        <v>19</v>
      </c>
      <c r="J321" s="48">
        <f>SUM(J324)</f>
        <v>0</v>
      </c>
      <c r="K321" s="48">
        <f>SUM(K324)</f>
        <v>0</v>
      </c>
      <c r="L321" s="50">
        <f>SUM(L324)</f>
        <v>0</v>
      </c>
      <c r="M321" s="50"/>
      <c r="Q321" s="102">
        <f>SUM(Q324)</f>
        <v>6862.3</v>
      </c>
      <c r="R321" s="55">
        <f t="shared" si="38"/>
        <v>6862.3</v>
      </c>
    </row>
    <row r="322" spans="1:18" s="5" customFormat="1" ht="29.25" customHeight="1">
      <c r="A322" s="24"/>
      <c r="B322" s="75" t="s">
        <v>20</v>
      </c>
      <c r="C322" s="32"/>
      <c r="D322" s="102"/>
      <c r="E322" s="102"/>
      <c r="F322" s="102"/>
      <c r="G322" s="102"/>
      <c r="H322" s="102"/>
      <c r="I322" s="41"/>
      <c r="J322" s="48"/>
      <c r="K322" s="48"/>
      <c r="L322" s="57"/>
      <c r="M322" s="57"/>
      <c r="Q322" s="102"/>
      <c r="R322" s="55">
        <f t="shared" si="38"/>
        <v>0</v>
      </c>
    </row>
    <row r="323" spans="1:18" s="5" customFormat="1" ht="29.25" customHeight="1" hidden="1">
      <c r="A323" s="24"/>
      <c r="B323" s="76" t="s">
        <v>21</v>
      </c>
      <c r="C323" s="32"/>
      <c r="D323" s="102"/>
      <c r="E323" s="102">
        <f>D323+H323</f>
        <v>0</v>
      </c>
      <c r="F323" s="102"/>
      <c r="G323" s="102"/>
      <c r="H323" s="102"/>
      <c r="I323" s="41"/>
      <c r="J323" s="48"/>
      <c r="K323" s="48"/>
      <c r="L323" s="57"/>
      <c r="M323" s="57"/>
      <c r="Q323" s="102"/>
      <c r="R323" s="55">
        <f t="shared" si="38"/>
        <v>0</v>
      </c>
    </row>
    <row r="324" spans="1:18" s="5" customFormat="1" ht="29.25" customHeight="1">
      <c r="A324" s="24"/>
      <c r="B324" s="75" t="s">
        <v>22</v>
      </c>
      <c r="C324" s="32"/>
      <c r="D324" s="102"/>
      <c r="E324" s="102">
        <f>D324+H324</f>
        <v>6862.3</v>
      </c>
      <c r="F324" s="102">
        <v>6862.3</v>
      </c>
      <c r="G324" s="102"/>
      <c r="H324" s="102">
        <v>6862.3</v>
      </c>
      <c r="I324" s="102"/>
      <c r="J324" s="48"/>
      <c r="K324" s="48"/>
      <c r="L324" s="50"/>
      <c r="M324" s="50"/>
      <c r="Q324" s="102">
        <v>6862.3</v>
      </c>
      <c r="R324" s="55">
        <f t="shared" si="38"/>
        <v>6862.3</v>
      </c>
    </row>
    <row r="325" spans="1:18" s="5" customFormat="1" ht="76.5" customHeight="1">
      <c r="A325" s="24" t="s">
        <v>190</v>
      </c>
      <c r="B325" s="30" t="s">
        <v>76</v>
      </c>
      <c r="C325" s="32" t="s">
        <v>52</v>
      </c>
      <c r="D325" s="102">
        <f>SUM(D328)</f>
        <v>0</v>
      </c>
      <c r="E325" s="102">
        <f>SUM(E328)</f>
        <v>24974.699999999997</v>
      </c>
      <c r="F325" s="102">
        <f>SUM(F328)</f>
        <v>24974.699999999997</v>
      </c>
      <c r="G325" s="102"/>
      <c r="H325" s="102">
        <f>SUM(H328)</f>
        <v>24974.699999999997</v>
      </c>
      <c r="I325" s="28" t="s">
        <v>19</v>
      </c>
      <c r="J325" s="48">
        <f>SUM(J328)</f>
        <v>27424.51</v>
      </c>
      <c r="K325" s="48">
        <f>SUM(K328)</f>
        <v>27424.51</v>
      </c>
      <c r="L325" s="50">
        <f>SUM(L328)</f>
        <v>20000</v>
      </c>
      <c r="M325" s="50"/>
      <c r="Q325" s="102">
        <f>SUM(Q328)</f>
        <v>24974.699999999997</v>
      </c>
      <c r="R325" s="55">
        <f t="shared" si="38"/>
        <v>24974.699999999997</v>
      </c>
    </row>
    <row r="326" spans="1:18" s="5" customFormat="1" ht="29.25" customHeight="1">
      <c r="A326" s="24"/>
      <c r="B326" s="75" t="s">
        <v>20</v>
      </c>
      <c r="C326" s="32"/>
      <c r="D326" s="102"/>
      <c r="E326" s="102"/>
      <c r="F326" s="102"/>
      <c r="G326" s="102"/>
      <c r="H326" s="102"/>
      <c r="I326" s="102"/>
      <c r="J326" s="48"/>
      <c r="K326" s="48"/>
      <c r="L326" s="50"/>
      <c r="M326" s="50"/>
      <c r="Q326" s="102"/>
      <c r="R326" s="55">
        <f t="shared" si="38"/>
        <v>0</v>
      </c>
    </row>
    <row r="327" spans="1:18" s="5" customFormat="1" ht="29.25" customHeight="1" hidden="1">
      <c r="A327" s="24"/>
      <c r="B327" s="76" t="s">
        <v>21</v>
      </c>
      <c r="C327" s="32"/>
      <c r="D327" s="102"/>
      <c r="E327" s="102">
        <f>D327+H327</f>
        <v>0</v>
      </c>
      <c r="F327" s="102"/>
      <c r="G327" s="102"/>
      <c r="H327" s="102"/>
      <c r="I327" s="102"/>
      <c r="J327" s="48"/>
      <c r="K327" s="48"/>
      <c r="L327" s="50"/>
      <c r="M327" s="50"/>
      <c r="Q327" s="102"/>
      <c r="R327" s="55">
        <f t="shared" si="38"/>
        <v>0</v>
      </c>
    </row>
    <row r="328" spans="1:18" s="5" customFormat="1" ht="29.25" customHeight="1">
      <c r="A328" s="24"/>
      <c r="B328" s="75" t="s">
        <v>22</v>
      </c>
      <c r="C328" s="32"/>
      <c r="D328" s="102"/>
      <c r="E328" s="102">
        <f>D328+H328</f>
        <v>24974.699999999997</v>
      </c>
      <c r="F328" s="102">
        <f>23585.6+1389.1</f>
        <v>24974.699999999997</v>
      </c>
      <c r="G328" s="102"/>
      <c r="H328" s="102">
        <f>23585.6+1389.1</f>
        <v>24974.699999999997</v>
      </c>
      <c r="I328" s="102"/>
      <c r="J328" s="48">
        <v>27424.51</v>
      </c>
      <c r="K328" s="48">
        <v>27424.51</v>
      </c>
      <c r="L328" s="50">
        <v>20000</v>
      </c>
      <c r="M328" s="50"/>
      <c r="Q328" s="102">
        <f>23585.6+1389.1</f>
        <v>24974.699999999997</v>
      </c>
      <c r="R328" s="55">
        <f t="shared" si="38"/>
        <v>24974.699999999997</v>
      </c>
    </row>
    <row r="329" spans="1:18" s="5" customFormat="1" ht="72.75" customHeight="1">
      <c r="A329" s="24" t="s">
        <v>191</v>
      </c>
      <c r="B329" s="30" t="s">
        <v>198</v>
      </c>
      <c r="C329" s="32" t="s">
        <v>52</v>
      </c>
      <c r="D329" s="102"/>
      <c r="E329" s="102">
        <f>E331</f>
        <v>6607.1</v>
      </c>
      <c r="F329" s="102">
        <f>F331</f>
        <v>4686.9</v>
      </c>
      <c r="G329" s="102">
        <f>F329-E329</f>
        <v>-1920.2000000000007</v>
      </c>
      <c r="H329" s="102">
        <f>H331</f>
        <v>6607.1</v>
      </c>
      <c r="I329" s="28" t="s">
        <v>19</v>
      </c>
      <c r="J329" s="48"/>
      <c r="K329" s="48"/>
      <c r="L329" s="50"/>
      <c r="M329" s="50"/>
      <c r="Q329" s="102">
        <f>Q331</f>
        <v>4686.9</v>
      </c>
      <c r="R329" s="55"/>
    </row>
    <row r="330" spans="1:18" s="5" customFormat="1" ht="21" customHeight="1">
      <c r="A330" s="24"/>
      <c r="B330" s="75" t="s">
        <v>20</v>
      </c>
      <c r="C330" s="32"/>
      <c r="D330" s="102"/>
      <c r="E330" s="102"/>
      <c r="F330" s="102"/>
      <c r="G330" s="102"/>
      <c r="H330" s="102"/>
      <c r="I330" s="102"/>
      <c r="J330" s="48"/>
      <c r="K330" s="48"/>
      <c r="L330" s="50"/>
      <c r="M330" s="50"/>
      <c r="Q330" s="102"/>
      <c r="R330" s="55"/>
    </row>
    <row r="331" spans="1:18" s="5" customFormat="1" ht="51.75" customHeight="1">
      <c r="A331" s="24"/>
      <c r="B331" s="75" t="s">
        <v>22</v>
      </c>
      <c r="C331" s="32"/>
      <c r="D331" s="102"/>
      <c r="E331" s="102">
        <f>D331+H331</f>
        <v>6607.1</v>
      </c>
      <c r="F331" s="102">
        <v>4686.9</v>
      </c>
      <c r="G331" s="102">
        <f>F331-E331</f>
        <v>-1920.2000000000007</v>
      </c>
      <c r="H331" s="102">
        <v>6607.1</v>
      </c>
      <c r="I331" s="102"/>
      <c r="J331" s="48"/>
      <c r="K331" s="48"/>
      <c r="L331" s="50"/>
      <c r="M331" s="50"/>
      <c r="Q331" s="102">
        <v>4686.9</v>
      </c>
      <c r="R331" s="55"/>
    </row>
    <row r="332" spans="1:18" s="5" customFormat="1" ht="29.25" customHeight="1" hidden="1">
      <c r="A332" s="24"/>
      <c r="B332" s="75"/>
      <c r="C332" s="32"/>
      <c r="D332" s="102"/>
      <c r="E332" s="102"/>
      <c r="F332" s="102"/>
      <c r="G332" s="102"/>
      <c r="H332" s="102"/>
      <c r="I332" s="102"/>
      <c r="J332" s="48"/>
      <c r="K332" s="48"/>
      <c r="L332" s="50"/>
      <c r="M332" s="50"/>
      <c r="Q332" s="102"/>
      <c r="R332" s="55"/>
    </row>
    <row r="333" spans="1:18" s="100" customFormat="1" ht="68.25" customHeight="1" hidden="1">
      <c r="A333" s="24" t="s">
        <v>193</v>
      </c>
      <c r="B333" s="30" t="s">
        <v>199</v>
      </c>
      <c r="C333" s="32" t="s">
        <v>52</v>
      </c>
      <c r="D333" s="102">
        <f>SUM(D336)</f>
        <v>0</v>
      </c>
      <c r="E333" s="102">
        <f>SUM(E336)</f>
        <v>6607.1</v>
      </c>
      <c r="F333" s="102">
        <f>SUM(F336)</f>
        <v>0</v>
      </c>
      <c r="G333" s="102">
        <f>F333-E333</f>
        <v>-6607.1</v>
      </c>
      <c r="H333" s="102">
        <f>SUM(H336)</f>
        <v>6607.1</v>
      </c>
      <c r="I333" s="28" t="s">
        <v>19</v>
      </c>
      <c r="J333" s="20">
        <f>SUM(J336)</f>
        <v>0</v>
      </c>
      <c r="K333" s="20">
        <f>SUM(K336)</f>
        <v>0</v>
      </c>
      <c r="L333" s="102">
        <f>SUM(L336)</f>
        <v>0</v>
      </c>
      <c r="M333" s="102"/>
      <c r="Q333" s="102">
        <f>SUM(Q336)</f>
        <v>0</v>
      </c>
      <c r="R333" s="96">
        <f aca="true" t="shared" si="39" ref="R333:R345">H333+D333</f>
        <v>6607.1</v>
      </c>
    </row>
    <row r="334" spans="1:18" s="100" customFormat="1" ht="29.25" customHeight="1" hidden="1">
      <c r="A334" s="24"/>
      <c r="B334" s="75" t="s">
        <v>20</v>
      </c>
      <c r="C334" s="32"/>
      <c r="D334" s="102"/>
      <c r="E334" s="102"/>
      <c r="F334" s="102"/>
      <c r="G334" s="102"/>
      <c r="H334" s="102"/>
      <c r="I334" s="21"/>
      <c r="J334" s="20"/>
      <c r="K334" s="20"/>
      <c r="L334" s="21"/>
      <c r="M334" s="21"/>
      <c r="Q334" s="102"/>
      <c r="R334" s="96">
        <f t="shared" si="39"/>
        <v>0</v>
      </c>
    </row>
    <row r="335" spans="1:18" s="100" customFormat="1" ht="29.25" customHeight="1" hidden="1">
      <c r="A335" s="24"/>
      <c r="B335" s="76" t="s">
        <v>21</v>
      </c>
      <c r="C335" s="32"/>
      <c r="D335" s="102"/>
      <c r="E335" s="102">
        <f>D335+H335</f>
        <v>0</v>
      </c>
      <c r="F335" s="102"/>
      <c r="G335" s="102"/>
      <c r="H335" s="102"/>
      <c r="I335" s="21"/>
      <c r="J335" s="20"/>
      <c r="K335" s="20"/>
      <c r="L335" s="21"/>
      <c r="M335" s="21"/>
      <c r="Q335" s="102"/>
      <c r="R335" s="96">
        <f t="shared" si="39"/>
        <v>0</v>
      </c>
    </row>
    <row r="336" spans="1:18" s="100" customFormat="1" ht="29.25" customHeight="1" hidden="1">
      <c r="A336" s="24"/>
      <c r="B336" s="75" t="s">
        <v>22</v>
      </c>
      <c r="C336" s="32"/>
      <c r="D336" s="102"/>
      <c r="E336" s="102">
        <f>D336+H336</f>
        <v>6607.1</v>
      </c>
      <c r="F336" s="102"/>
      <c r="G336" s="102">
        <f>F336-E336</f>
        <v>-6607.1</v>
      </c>
      <c r="H336" s="102">
        <v>6607.1</v>
      </c>
      <c r="I336" s="21"/>
      <c r="J336" s="20"/>
      <c r="K336" s="20"/>
      <c r="L336" s="21"/>
      <c r="M336" s="21"/>
      <c r="Q336" s="102"/>
      <c r="R336" s="96">
        <f t="shared" si="39"/>
        <v>6607.1</v>
      </c>
    </row>
    <row r="337" spans="1:18" s="5" customFormat="1" ht="34.5" customHeight="1">
      <c r="A337" s="24"/>
      <c r="B337" s="40" t="s">
        <v>150</v>
      </c>
      <c r="C337" s="39">
        <v>1105</v>
      </c>
      <c r="D337" s="103">
        <f>D341+D345</f>
        <v>0</v>
      </c>
      <c r="E337" s="103">
        <f>E341+E345</f>
        <v>31884.3</v>
      </c>
      <c r="F337" s="103">
        <f>F341+F345+F369</f>
        <v>31884.3</v>
      </c>
      <c r="G337" s="103">
        <f>G341+G345+G369</f>
        <v>0</v>
      </c>
      <c r="H337" s="103">
        <f>H341+H345</f>
        <v>31884.3</v>
      </c>
      <c r="I337" s="21"/>
      <c r="J337" s="48"/>
      <c r="K337" s="48"/>
      <c r="L337" s="49"/>
      <c r="M337" s="49"/>
      <c r="Q337" s="103">
        <f>Q341+Q345+Q369</f>
        <v>31884.3</v>
      </c>
      <c r="R337" s="55">
        <f t="shared" si="39"/>
        <v>31884.3</v>
      </c>
    </row>
    <row r="338" spans="1:18" s="5" customFormat="1" ht="53.25" customHeight="1">
      <c r="A338" s="24" t="s">
        <v>192</v>
      </c>
      <c r="B338" s="30" t="s">
        <v>148</v>
      </c>
      <c r="C338" s="32" t="s">
        <v>52</v>
      </c>
      <c r="D338" s="102">
        <f>SUM(D341)</f>
        <v>0</v>
      </c>
      <c r="E338" s="102">
        <f>SUM(E341)</f>
        <v>21354.3</v>
      </c>
      <c r="F338" s="102">
        <f>SUM(F341)</f>
        <v>21354.3</v>
      </c>
      <c r="G338" s="102"/>
      <c r="H338" s="102">
        <f>SUM(H341)</f>
        <v>21354.3</v>
      </c>
      <c r="I338" s="28" t="s">
        <v>19</v>
      </c>
      <c r="J338" s="48">
        <f>SUM(J341)</f>
        <v>0</v>
      </c>
      <c r="K338" s="48">
        <f>SUM(K341)</f>
        <v>0</v>
      </c>
      <c r="L338" s="50">
        <f>SUM(L341)</f>
        <v>0</v>
      </c>
      <c r="M338" s="50"/>
      <c r="Q338" s="102">
        <f>SUM(Q341)</f>
        <v>21354.3</v>
      </c>
      <c r="R338" s="55">
        <f t="shared" si="39"/>
        <v>21354.3</v>
      </c>
    </row>
    <row r="339" spans="1:18" s="5" customFormat="1" ht="18.75">
      <c r="A339" s="24"/>
      <c r="B339" s="75" t="s">
        <v>20</v>
      </c>
      <c r="C339" s="32"/>
      <c r="D339" s="102"/>
      <c r="E339" s="102"/>
      <c r="F339" s="102"/>
      <c r="G339" s="102"/>
      <c r="H339" s="102"/>
      <c r="I339" s="102"/>
      <c r="J339" s="48"/>
      <c r="K339" s="48"/>
      <c r="L339" s="50"/>
      <c r="M339" s="50"/>
      <c r="Q339" s="102"/>
      <c r="R339" s="55">
        <f t="shared" si="39"/>
        <v>0</v>
      </c>
    </row>
    <row r="340" spans="1:18" s="5" customFormat="1" ht="18.75" hidden="1">
      <c r="A340" s="24"/>
      <c r="B340" s="76" t="s">
        <v>21</v>
      </c>
      <c r="C340" s="32"/>
      <c r="D340" s="102"/>
      <c r="E340" s="102">
        <f>D340+H340</f>
        <v>0</v>
      </c>
      <c r="F340" s="102"/>
      <c r="G340" s="102"/>
      <c r="H340" s="102"/>
      <c r="I340" s="102"/>
      <c r="J340" s="48"/>
      <c r="K340" s="48"/>
      <c r="L340" s="50"/>
      <c r="M340" s="50"/>
      <c r="Q340" s="102"/>
      <c r="R340" s="55">
        <f t="shared" si="39"/>
        <v>0</v>
      </c>
    </row>
    <row r="341" spans="1:18" s="5" customFormat="1" ht="29.25" customHeight="1">
      <c r="A341" s="24"/>
      <c r="B341" s="75" t="s">
        <v>22</v>
      </c>
      <c r="C341" s="32"/>
      <c r="D341" s="102"/>
      <c r="E341" s="102">
        <f>D341+H341</f>
        <v>21354.3</v>
      </c>
      <c r="F341" s="102">
        <f>20966.1+388.2</f>
        <v>21354.3</v>
      </c>
      <c r="G341" s="102">
        <f>F341-E341</f>
        <v>0</v>
      </c>
      <c r="H341" s="102">
        <f>20966.1+388.2</f>
        <v>21354.3</v>
      </c>
      <c r="I341" s="102"/>
      <c r="J341" s="48"/>
      <c r="K341" s="48"/>
      <c r="L341" s="50"/>
      <c r="M341" s="50"/>
      <c r="Q341" s="102">
        <f>20966.1+388.2</f>
        <v>21354.3</v>
      </c>
      <c r="R341" s="55">
        <f t="shared" si="39"/>
        <v>21354.3</v>
      </c>
    </row>
    <row r="342" spans="1:18" s="5" customFormat="1" ht="66.75" customHeight="1" hidden="1">
      <c r="A342" s="24" t="s">
        <v>194</v>
      </c>
      <c r="B342" s="30" t="s">
        <v>149</v>
      </c>
      <c r="C342" s="32" t="s">
        <v>52</v>
      </c>
      <c r="D342" s="102">
        <f>SUM(D345)</f>
        <v>0</v>
      </c>
      <c r="E342" s="102">
        <f>SUM(E345)</f>
        <v>10530</v>
      </c>
      <c r="F342" s="102">
        <f>SUM(F345)</f>
        <v>0</v>
      </c>
      <c r="G342" s="102">
        <f>F342-E342</f>
        <v>-10530</v>
      </c>
      <c r="H342" s="102">
        <f>SUM(H345)</f>
        <v>10530</v>
      </c>
      <c r="I342" s="28" t="s">
        <v>19</v>
      </c>
      <c r="J342" s="48">
        <f>SUM(J345)</f>
        <v>0</v>
      </c>
      <c r="K342" s="48">
        <f>SUM(K345)</f>
        <v>0</v>
      </c>
      <c r="L342" s="50">
        <f>SUM(L345)</f>
        <v>0</v>
      </c>
      <c r="M342" s="50"/>
      <c r="Q342" s="102">
        <f>SUM(Q345)</f>
        <v>0</v>
      </c>
      <c r="R342" s="55">
        <f t="shared" si="39"/>
        <v>10530</v>
      </c>
    </row>
    <row r="343" spans="1:18" s="5" customFormat="1" ht="18.75" hidden="1">
      <c r="A343" s="24"/>
      <c r="B343" s="75" t="s">
        <v>20</v>
      </c>
      <c r="C343" s="32"/>
      <c r="D343" s="102"/>
      <c r="E343" s="102"/>
      <c r="F343" s="102"/>
      <c r="G343" s="102"/>
      <c r="H343" s="102"/>
      <c r="I343" s="41"/>
      <c r="J343" s="48"/>
      <c r="K343" s="48"/>
      <c r="L343" s="57"/>
      <c r="M343" s="57"/>
      <c r="Q343" s="102"/>
      <c r="R343" s="55">
        <f t="shared" si="39"/>
        <v>0</v>
      </c>
    </row>
    <row r="344" spans="1:18" s="5" customFormat="1" ht="18.75" hidden="1">
      <c r="A344" s="24"/>
      <c r="B344" s="76" t="s">
        <v>21</v>
      </c>
      <c r="C344" s="32"/>
      <c r="D344" s="102"/>
      <c r="E344" s="102">
        <f>D344+H344</f>
        <v>0</v>
      </c>
      <c r="F344" s="102"/>
      <c r="G344" s="102"/>
      <c r="H344" s="102"/>
      <c r="I344" s="41"/>
      <c r="J344" s="48"/>
      <c r="K344" s="48"/>
      <c r="L344" s="57"/>
      <c r="M344" s="57"/>
      <c r="Q344" s="102"/>
      <c r="R344" s="55">
        <f t="shared" si="39"/>
        <v>0</v>
      </c>
    </row>
    <row r="345" spans="1:18" s="5" customFormat="1" ht="29.25" customHeight="1" hidden="1">
      <c r="A345" s="24"/>
      <c r="B345" s="75" t="s">
        <v>22</v>
      </c>
      <c r="C345" s="32"/>
      <c r="D345" s="102"/>
      <c r="E345" s="102">
        <f>D345+H345</f>
        <v>10530</v>
      </c>
      <c r="F345" s="102"/>
      <c r="G345" s="102">
        <f>F345-E345</f>
        <v>-10530</v>
      </c>
      <c r="H345" s="102">
        <v>10530</v>
      </c>
      <c r="I345" s="102"/>
      <c r="J345" s="48"/>
      <c r="K345" s="48"/>
      <c r="L345" s="50"/>
      <c r="M345" s="50"/>
      <c r="Q345" s="102"/>
      <c r="R345" s="55">
        <f t="shared" si="39"/>
        <v>10530</v>
      </c>
    </row>
    <row r="346" spans="1:17" s="5" customFormat="1" ht="63" customHeight="1" hidden="1">
      <c r="A346" s="47" t="s">
        <v>94</v>
      </c>
      <c r="B346" s="59" t="s">
        <v>62</v>
      </c>
      <c r="C346" s="56" t="s">
        <v>52</v>
      </c>
      <c r="D346" s="50">
        <f>SUM(D349)</f>
        <v>0</v>
      </c>
      <c r="E346" s="50">
        <f>SUM(E349)</f>
        <v>0</v>
      </c>
      <c r="F346" s="50">
        <f>SUM(F349)</f>
        <v>0</v>
      </c>
      <c r="G346" s="50"/>
      <c r="H346" s="50">
        <f>SUM(H349)</f>
        <v>0</v>
      </c>
      <c r="I346" s="50"/>
      <c r="J346" s="48">
        <f>SUM(J349)</f>
        <v>0</v>
      </c>
      <c r="K346" s="48">
        <f>SUM(K349)</f>
        <v>0</v>
      </c>
      <c r="L346" s="50">
        <f>SUM(L349)</f>
        <v>0</v>
      </c>
      <c r="M346" s="50"/>
      <c r="Q346" s="50">
        <f>SUM(Q349)</f>
        <v>0</v>
      </c>
    </row>
    <row r="347" spans="1:17" s="5" customFormat="1" ht="27" customHeight="1" hidden="1">
      <c r="A347" s="47"/>
      <c r="B347" s="53" t="s">
        <v>20</v>
      </c>
      <c r="C347" s="56"/>
      <c r="D347" s="50"/>
      <c r="E347" s="50"/>
      <c r="F347" s="50"/>
      <c r="G347" s="50"/>
      <c r="H347" s="50"/>
      <c r="I347" s="50"/>
      <c r="J347" s="48"/>
      <c r="K347" s="48"/>
      <c r="L347" s="50"/>
      <c r="M347" s="50"/>
      <c r="Q347" s="50"/>
    </row>
    <row r="348" spans="1:17" s="5" customFormat="1" ht="29.25" customHeight="1" hidden="1">
      <c r="A348" s="47"/>
      <c r="B348" s="54" t="s">
        <v>21</v>
      </c>
      <c r="C348" s="56"/>
      <c r="D348" s="50"/>
      <c r="E348" s="102">
        <f>D348+H348</f>
        <v>0</v>
      </c>
      <c r="F348" s="102"/>
      <c r="G348" s="102"/>
      <c r="H348" s="102"/>
      <c r="I348" s="50"/>
      <c r="J348" s="48"/>
      <c r="K348" s="48"/>
      <c r="L348" s="50"/>
      <c r="M348" s="50"/>
      <c r="Q348" s="102"/>
    </row>
    <row r="349" spans="1:17" s="5" customFormat="1" ht="29.25" customHeight="1" hidden="1">
      <c r="A349" s="47"/>
      <c r="B349" s="53" t="s">
        <v>22</v>
      </c>
      <c r="C349" s="56"/>
      <c r="D349" s="50"/>
      <c r="E349" s="102">
        <f>D349+H349</f>
        <v>0</v>
      </c>
      <c r="F349" s="102"/>
      <c r="G349" s="102"/>
      <c r="H349" s="102"/>
      <c r="I349" s="50"/>
      <c r="J349" s="48"/>
      <c r="K349" s="48"/>
      <c r="L349" s="50"/>
      <c r="M349" s="50"/>
      <c r="Q349" s="102"/>
    </row>
    <row r="350" spans="1:17" s="5" customFormat="1" ht="80.25" customHeight="1" hidden="1">
      <c r="A350" s="47" t="s">
        <v>95</v>
      </c>
      <c r="B350" s="60" t="s">
        <v>63</v>
      </c>
      <c r="C350" s="56" t="s">
        <v>52</v>
      </c>
      <c r="D350" s="50">
        <f>SUM(D353)</f>
        <v>0</v>
      </c>
      <c r="E350" s="50">
        <f>SUM(E353)</f>
        <v>0</v>
      </c>
      <c r="F350" s="50">
        <f>SUM(F353)</f>
        <v>0</v>
      </c>
      <c r="G350" s="50"/>
      <c r="H350" s="50">
        <f>SUM(H353)</f>
        <v>0</v>
      </c>
      <c r="I350" s="50"/>
      <c r="J350" s="48">
        <f>SUM(J353)</f>
        <v>0</v>
      </c>
      <c r="K350" s="48">
        <f>SUM(K353)</f>
        <v>0</v>
      </c>
      <c r="L350" s="50">
        <f>SUM(L353)</f>
        <v>0</v>
      </c>
      <c r="M350" s="50"/>
      <c r="Q350" s="50">
        <f>SUM(Q353)</f>
        <v>0</v>
      </c>
    </row>
    <row r="351" spans="1:17" s="5" customFormat="1" ht="27" customHeight="1" hidden="1">
      <c r="A351" s="47"/>
      <c r="B351" s="53" t="s">
        <v>20</v>
      </c>
      <c r="C351" s="56"/>
      <c r="D351" s="50"/>
      <c r="E351" s="50"/>
      <c r="F351" s="50"/>
      <c r="G351" s="50"/>
      <c r="H351" s="50"/>
      <c r="I351" s="57"/>
      <c r="J351" s="48"/>
      <c r="K351" s="48"/>
      <c r="L351" s="57"/>
      <c r="M351" s="57"/>
      <c r="Q351" s="50"/>
    </row>
    <row r="352" spans="1:17" s="5" customFormat="1" ht="29.25" customHeight="1" hidden="1">
      <c r="A352" s="47"/>
      <c r="B352" s="54" t="s">
        <v>21</v>
      </c>
      <c r="C352" s="56"/>
      <c r="D352" s="50"/>
      <c r="E352" s="102">
        <f>D352+H352</f>
        <v>0</v>
      </c>
      <c r="F352" s="102"/>
      <c r="G352" s="102"/>
      <c r="H352" s="102"/>
      <c r="I352" s="57"/>
      <c r="J352" s="48"/>
      <c r="K352" s="48"/>
      <c r="L352" s="57"/>
      <c r="M352" s="57"/>
      <c r="Q352" s="102"/>
    </row>
    <row r="353" spans="1:17" s="5" customFormat="1" ht="29.25" customHeight="1" hidden="1">
      <c r="A353" s="47"/>
      <c r="B353" s="53" t="s">
        <v>22</v>
      </c>
      <c r="C353" s="56"/>
      <c r="D353" s="50"/>
      <c r="E353" s="102">
        <f>D353+H353</f>
        <v>0</v>
      </c>
      <c r="F353" s="102"/>
      <c r="G353" s="102"/>
      <c r="H353" s="102"/>
      <c r="I353" s="50"/>
      <c r="J353" s="48"/>
      <c r="K353" s="48"/>
      <c r="L353" s="50"/>
      <c r="M353" s="50"/>
      <c r="Q353" s="102"/>
    </row>
    <row r="354" spans="1:17" s="5" customFormat="1" ht="63" customHeight="1" hidden="1">
      <c r="A354" s="47" t="s">
        <v>96</v>
      </c>
      <c r="B354" s="60" t="s">
        <v>64</v>
      </c>
      <c r="C354" s="56" t="s">
        <v>52</v>
      </c>
      <c r="D354" s="50">
        <f>SUM(D357)</f>
        <v>0</v>
      </c>
      <c r="E354" s="50">
        <f>SUM(E357)</f>
        <v>0</v>
      </c>
      <c r="F354" s="50">
        <f>SUM(F357)</f>
        <v>0</v>
      </c>
      <c r="G354" s="50"/>
      <c r="H354" s="50">
        <f>SUM(H357)</f>
        <v>0</v>
      </c>
      <c r="I354" s="50"/>
      <c r="J354" s="48">
        <f>SUM(J357)</f>
        <v>0</v>
      </c>
      <c r="K354" s="48">
        <f>SUM(K357)</f>
        <v>0</v>
      </c>
      <c r="L354" s="50">
        <f>SUM(L357)</f>
        <v>0</v>
      </c>
      <c r="M354" s="50"/>
      <c r="Q354" s="50">
        <f>SUM(Q357)</f>
        <v>0</v>
      </c>
    </row>
    <row r="355" spans="1:17" s="5" customFormat="1" ht="27" customHeight="1" hidden="1">
      <c r="A355" s="47"/>
      <c r="B355" s="53" t="s">
        <v>20</v>
      </c>
      <c r="C355" s="56"/>
      <c r="D355" s="50"/>
      <c r="E355" s="50"/>
      <c r="F355" s="50"/>
      <c r="G355" s="50"/>
      <c r="H355" s="50"/>
      <c r="I355" s="50"/>
      <c r="J355" s="48"/>
      <c r="K355" s="48"/>
      <c r="L355" s="50"/>
      <c r="M355" s="50"/>
      <c r="Q355" s="50"/>
    </row>
    <row r="356" spans="1:17" s="5" customFormat="1" ht="29.25" customHeight="1" hidden="1">
      <c r="A356" s="47"/>
      <c r="B356" s="54" t="s">
        <v>21</v>
      </c>
      <c r="C356" s="56"/>
      <c r="D356" s="50"/>
      <c r="E356" s="102">
        <f>D356+H356</f>
        <v>0</v>
      </c>
      <c r="F356" s="102"/>
      <c r="G356" s="102"/>
      <c r="H356" s="102"/>
      <c r="I356" s="50"/>
      <c r="J356" s="48"/>
      <c r="K356" s="48"/>
      <c r="L356" s="50"/>
      <c r="M356" s="50"/>
      <c r="Q356" s="102"/>
    </row>
    <row r="357" spans="1:17" s="5" customFormat="1" ht="29.25" customHeight="1" hidden="1">
      <c r="A357" s="47"/>
      <c r="B357" s="53" t="s">
        <v>22</v>
      </c>
      <c r="C357" s="56"/>
      <c r="D357" s="50"/>
      <c r="E357" s="102">
        <f>D357+H357</f>
        <v>0</v>
      </c>
      <c r="F357" s="102"/>
      <c r="G357" s="102"/>
      <c r="H357" s="102"/>
      <c r="I357" s="50"/>
      <c r="J357" s="48"/>
      <c r="K357" s="48"/>
      <c r="L357" s="50"/>
      <c r="M357" s="50"/>
      <c r="Q357" s="102"/>
    </row>
    <row r="358" spans="1:17" s="5" customFormat="1" ht="63" customHeight="1" hidden="1">
      <c r="A358" s="47" t="s">
        <v>97</v>
      </c>
      <c r="B358" s="60" t="s">
        <v>65</v>
      </c>
      <c r="C358" s="56" t="s">
        <v>52</v>
      </c>
      <c r="D358" s="50">
        <f>SUM(D361)</f>
        <v>0</v>
      </c>
      <c r="E358" s="50">
        <f>SUM(E361)</f>
        <v>0</v>
      </c>
      <c r="F358" s="50">
        <f>SUM(F361)</f>
        <v>0</v>
      </c>
      <c r="G358" s="50"/>
      <c r="H358" s="50">
        <f>SUM(H361)</f>
        <v>0</v>
      </c>
      <c r="I358" s="50"/>
      <c r="J358" s="48">
        <f>SUM(J361)</f>
        <v>0</v>
      </c>
      <c r="K358" s="48">
        <f>SUM(K361)</f>
        <v>0</v>
      </c>
      <c r="L358" s="50">
        <f>SUM(L361)</f>
        <v>0</v>
      </c>
      <c r="M358" s="50"/>
      <c r="Q358" s="50">
        <f>SUM(Q361)</f>
        <v>0</v>
      </c>
    </row>
    <row r="359" spans="1:17" s="5" customFormat="1" ht="27" customHeight="1" hidden="1">
      <c r="A359" s="47"/>
      <c r="B359" s="53" t="s">
        <v>20</v>
      </c>
      <c r="C359" s="56"/>
      <c r="D359" s="50"/>
      <c r="E359" s="50"/>
      <c r="F359" s="50"/>
      <c r="G359" s="50"/>
      <c r="H359" s="50"/>
      <c r="I359" s="50"/>
      <c r="J359" s="48"/>
      <c r="K359" s="48"/>
      <c r="L359" s="50"/>
      <c r="M359" s="50"/>
      <c r="Q359" s="50"/>
    </row>
    <row r="360" spans="1:17" s="5" customFormat="1" ht="29.25" customHeight="1" hidden="1">
      <c r="A360" s="47"/>
      <c r="B360" s="54" t="s">
        <v>21</v>
      </c>
      <c r="C360" s="56"/>
      <c r="D360" s="50"/>
      <c r="E360" s="102">
        <f>D360+H360</f>
        <v>0</v>
      </c>
      <c r="F360" s="102"/>
      <c r="G360" s="102"/>
      <c r="H360" s="102"/>
      <c r="I360" s="50"/>
      <c r="J360" s="48"/>
      <c r="K360" s="48"/>
      <c r="L360" s="50"/>
      <c r="M360" s="50"/>
      <c r="Q360" s="102"/>
    </row>
    <row r="361" spans="1:17" s="5" customFormat="1" ht="29.25" customHeight="1" hidden="1">
      <c r="A361" s="47"/>
      <c r="B361" s="53" t="s">
        <v>22</v>
      </c>
      <c r="C361" s="56"/>
      <c r="D361" s="50"/>
      <c r="E361" s="102">
        <f>D361+H361</f>
        <v>0</v>
      </c>
      <c r="F361" s="102"/>
      <c r="G361" s="102"/>
      <c r="H361" s="102"/>
      <c r="I361" s="50"/>
      <c r="J361" s="48"/>
      <c r="K361" s="48"/>
      <c r="L361" s="50"/>
      <c r="M361" s="50"/>
      <c r="Q361" s="102"/>
    </row>
    <row r="362" spans="1:17" s="5" customFormat="1" ht="63" customHeight="1" hidden="1">
      <c r="A362" s="47" t="s">
        <v>98</v>
      </c>
      <c r="B362" s="60" t="s">
        <v>66</v>
      </c>
      <c r="C362" s="56" t="s">
        <v>52</v>
      </c>
      <c r="D362" s="50">
        <f>SUM(D365)</f>
        <v>0</v>
      </c>
      <c r="E362" s="50">
        <f>SUM(E365)</f>
        <v>0</v>
      </c>
      <c r="F362" s="50">
        <f>SUM(F365)</f>
        <v>0</v>
      </c>
      <c r="G362" s="50"/>
      <c r="H362" s="50">
        <f>SUM(H365)</f>
        <v>0</v>
      </c>
      <c r="I362" s="50"/>
      <c r="J362" s="48">
        <f>SUM(J365)</f>
        <v>0</v>
      </c>
      <c r="K362" s="48">
        <f>SUM(K365)</f>
        <v>0</v>
      </c>
      <c r="L362" s="50">
        <f>SUM(L365)</f>
        <v>0</v>
      </c>
      <c r="M362" s="50"/>
      <c r="Q362" s="50">
        <f>SUM(Q365)</f>
        <v>0</v>
      </c>
    </row>
    <row r="363" spans="1:17" s="5" customFormat="1" ht="27" customHeight="1" hidden="1">
      <c r="A363" s="47"/>
      <c r="B363" s="53" t="s">
        <v>20</v>
      </c>
      <c r="C363" s="56"/>
      <c r="D363" s="50"/>
      <c r="E363" s="50"/>
      <c r="F363" s="50"/>
      <c r="G363" s="50"/>
      <c r="H363" s="50"/>
      <c r="I363" s="50"/>
      <c r="J363" s="48"/>
      <c r="K363" s="48"/>
      <c r="L363" s="50"/>
      <c r="M363" s="50"/>
      <c r="Q363" s="50"/>
    </row>
    <row r="364" spans="1:17" s="5" customFormat="1" ht="29.25" customHeight="1" hidden="1">
      <c r="A364" s="47"/>
      <c r="B364" s="54" t="s">
        <v>21</v>
      </c>
      <c r="C364" s="56"/>
      <c r="D364" s="50"/>
      <c r="E364" s="102">
        <f>D364+H364</f>
        <v>0</v>
      </c>
      <c r="F364" s="102"/>
      <c r="G364" s="102"/>
      <c r="H364" s="102"/>
      <c r="I364" s="50"/>
      <c r="J364" s="48"/>
      <c r="K364" s="48"/>
      <c r="L364" s="50"/>
      <c r="M364" s="50"/>
      <c r="Q364" s="102"/>
    </row>
    <row r="365" spans="1:17" s="5" customFormat="1" ht="29.25" customHeight="1" hidden="1">
      <c r="A365" s="47"/>
      <c r="B365" s="53" t="s">
        <v>22</v>
      </c>
      <c r="C365" s="56"/>
      <c r="D365" s="50"/>
      <c r="E365" s="102">
        <f>D365+H365</f>
        <v>0</v>
      </c>
      <c r="F365" s="102"/>
      <c r="G365" s="102"/>
      <c r="H365" s="102"/>
      <c r="I365" s="50"/>
      <c r="J365" s="48"/>
      <c r="K365" s="48"/>
      <c r="L365" s="50"/>
      <c r="M365" s="50"/>
      <c r="Q365" s="102"/>
    </row>
    <row r="366" spans="1:17" ht="84" customHeight="1">
      <c r="A366" s="24" t="s">
        <v>193</v>
      </c>
      <c r="B366" s="30" t="s">
        <v>209</v>
      </c>
      <c r="C366" s="32" t="s">
        <v>52</v>
      </c>
      <c r="D366" s="102">
        <f>SUM(D369)</f>
        <v>0</v>
      </c>
      <c r="E366" s="102">
        <f>SUM(E369)</f>
        <v>0</v>
      </c>
      <c r="F366" s="21">
        <f>SUM(F369)</f>
        <v>10530</v>
      </c>
      <c r="G366" s="102">
        <f>F366-E366</f>
        <v>10530</v>
      </c>
      <c r="H366" s="102">
        <f>SUM(H369)</f>
        <v>0</v>
      </c>
      <c r="I366" s="28" t="s">
        <v>19</v>
      </c>
      <c r="J366" s="48">
        <f>SUM(J369)</f>
        <v>0</v>
      </c>
      <c r="K366" s="48">
        <f>SUM(K369)</f>
        <v>0</v>
      </c>
      <c r="L366" s="50">
        <f>SUM(L369)</f>
        <v>0</v>
      </c>
      <c r="M366" s="50"/>
      <c r="N366" s="5"/>
      <c r="O366" s="5"/>
      <c r="P366" s="5"/>
      <c r="Q366" s="102">
        <f>SUM(Q369)</f>
        <v>10530</v>
      </c>
    </row>
    <row r="367" spans="1:17" ht="22.5" customHeight="1">
      <c r="A367" s="24"/>
      <c r="B367" s="75" t="s">
        <v>20</v>
      </c>
      <c r="C367" s="32"/>
      <c r="D367" s="102"/>
      <c r="E367" s="102"/>
      <c r="F367" s="21"/>
      <c r="G367" s="102"/>
      <c r="H367" s="102"/>
      <c r="I367" s="41"/>
      <c r="J367" s="48"/>
      <c r="K367" s="48"/>
      <c r="L367" s="57"/>
      <c r="M367" s="57"/>
      <c r="N367" s="5"/>
      <c r="O367" s="5"/>
      <c r="P367" s="5"/>
      <c r="Q367" s="102"/>
    </row>
    <row r="368" spans="1:17" ht="18" customHeight="1" hidden="1">
      <c r="A368" s="24"/>
      <c r="B368" s="76" t="s">
        <v>21</v>
      </c>
      <c r="C368" s="32"/>
      <c r="D368" s="102"/>
      <c r="E368" s="102">
        <f>D368+H368</f>
        <v>0</v>
      </c>
      <c r="F368" s="21"/>
      <c r="G368" s="102"/>
      <c r="H368" s="102"/>
      <c r="I368" s="41"/>
      <c r="J368" s="48"/>
      <c r="K368" s="48"/>
      <c r="L368" s="57"/>
      <c r="M368" s="57"/>
      <c r="N368" s="5"/>
      <c r="O368" s="5"/>
      <c r="P368" s="5"/>
      <c r="Q368" s="102"/>
    </row>
    <row r="369" spans="1:17" ht="27.75" customHeight="1">
      <c r="A369" s="24"/>
      <c r="B369" s="75" t="s">
        <v>22</v>
      </c>
      <c r="C369" s="32"/>
      <c r="D369" s="102"/>
      <c r="E369" s="102"/>
      <c r="F369" s="21">
        <v>10530</v>
      </c>
      <c r="G369" s="102">
        <f>F369-E369</f>
        <v>10530</v>
      </c>
      <c r="H369" s="102"/>
      <c r="I369" s="102"/>
      <c r="J369" s="48"/>
      <c r="K369" s="48"/>
      <c r="L369" s="50"/>
      <c r="M369" s="50"/>
      <c r="N369" s="5"/>
      <c r="O369" s="5"/>
      <c r="P369" s="5"/>
      <c r="Q369" s="102">
        <v>10530</v>
      </c>
    </row>
    <row r="370" spans="1:17" s="5" customFormat="1" ht="52.5" customHeight="1">
      <c r="A370" s="61"/>
      <c r="B370" s="6"/>
      <c r="C370" s="6"/>
      <c r="D370" s="85"/>
      <c r="E370" s="85"/>
      <c r="F370" s="85"/>
      <c r="G370" s="85"/>
      <c r="H370" s="85"/>
      <c r="I370" s="122" t="s">
        <v>232</v>
      </c>
      <c r="J370" s="62"/>
      <c r="K370" s="62"/>
      <c r="L370" s="63"/>
      <c r="M370" s="63"/>
      <c r="N370" s="6"/>
      <c r="O370" s="6"/>
      <c r="P370" s="6"/>
      <c r="Q370" s="85"/>
    </row>
    <row r="371" spans="1:17" ht="53.25" customHeight="1">
      <c r="A371" s="121" t="s">
        <v>231</v>
      </c>
      <c r="B371" s="121"/>
      <c r="D371" s="117" t="s">
        <v>32</v>
      </c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6"/>
    </row>
    <row r="372" spans="2:17" s="61" customFormat="1" ht="27.75" customHeight="1" hidden="1">
      <c r="B372" s="6"/>
      <c r="C372" s="6"/>
      <c r="D372" s="55"/>
      <c r="E372" s="55"/>
      <c r="F372" s="55"/>
      <c r="G372" s="55"/>
      <c r="H372" s="55"/>
      <c r="I372" s="64"/>
      <c r="J372" s="64"/>
      <c r="K372" s="6"/>
      <c r="L372" s="65"/>
      <c r="M372" s="6"/>
      <c r="N372" s="6"/>
      <c r="O372" s="6"/>
      <c r="P372" s="6"/>
      <c r="Q372" s="55"/>
    </row>
    <row r="373" spans="1:17" ht="16.5">
      <c r="A373" s="116" t="s">
        <v>230</v>
      </c>
      <c r="B373" s="116"/>
      <c r="D373" s="55"/>
      <c r="E373" s="117" t="s">
        <v>8</v>
      </c>
      <c r="F373" s="117"/>
      <c r="G373" s="117"/>
      <c r="H373" s="117"/>
      <c r="I373" s="117"/>
      <c r="J373" s="66"/>
      <c r="K373" s="120" t="s">
        <v>8</v>
      </c>
      <c r="L373" s="120"/>
      <c r="M373" s="120"/>
      <c r="N373" s="120"/>
      <c r="O373" s="120"/>
      <c r="P373" s="120"/>
      <c r="Q373" s="6"/>
    </row>
    <row r="374" spans="1:17" ht="18.75">
      <c r="A374" s="67"/>
      <c r="B374" s="10"/>
      <c r="C374" s="9"/>
      <c r="D374" s="68"/>
      <c r="E374" s="68"/>
      <c r="F374" s="68"/>
      <c r="G374" s="68"/>
      <c r="H374" s="68"/>
      <c r="I374" s="68"/>
      <c r="J374" s="69"/>
      <c r="K374" s="70"/>
      <c r="L374" s="71"/>
      <c r="M374" s="72"/>
      <c r="N374" s="72"/>
      <c r="O374" s="72"/>
      <c r="P374" s="73"/>
      <c r="Q374" s="68"/>
    </row>
    <row r="376" spans="14:16" ht="18.75">
      <c r="N376" s="61"/>
      <c r="O376" s="61"/>
      <c r="P376" s="61"/>
    </row>
  </sheetData>
  <sheetProtection/>
  <mergeCells count="31">
    <mergeCell ref="A373:B373"/>
    <mergeCell ref="E373:I373"/>
    <mergeCell ref="K373:P373"/>
    <mergeCell ref="G16:G17"/>
    <mergeCell ref="H16:H17"/>
    <mergeCell ref="I16:I17"/>
    <mergeCell ref="D16:D17"/>
    <mergeCell ref="E16:E17"/>
    <mergeCell ref="F16:F17"/>
    <mergeCell ref="Q16:Q17"/>
    <mergeCell ref="A133:L133"/>
    <mergeCell ref="A371:B371"/>
    <mergeCell ref="D371:P371"/>
    <mergeCell ref="J16:J17"/>
    <mergeCell ref="K16:K17"/>
    <mergeCell ref="L16:L17"/>
    <mergeCell ref="A16:A17"/>
    <mergeCell ref="B16:B17"/>
    <mergeCell ref="C16:C17"/>
    <mergeCell ref="E11:P11"/>
    <mergeCell ref="A13:P13"/>
    <mergeCell ref="A14:L14"/>
    <mergeCell ref="A15:L15"/>
    <mergeCell ref="A6:P6"/>
    <mergeCell ref="E8:P8"/>
    <mergeCell ref="E9:P9"/>
    <mergeCell ref="E10:P10"/>
    <mergeCell ref="E1:P1"/>
    <mergeCell ref="E2:P2"/>
    <mergeCell ref="E3:P3"/>
    <mergeCell ref="E4:P4"/>
  </mergeCells>
  <printOptions horizontalCentered="1"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407-4</dc:creator>
  <cp:keywords/>
  <dc:description/>
  <cp:lastModifiedBy>Пользователь</cp:lastModifiedBy>
  <cp:lastPrinted>2019-06-25T12:16:01Z</cp:lastPrinted>
  <dcterms:created xsi:type="dcterms:W3CDTF">2009-10-06T08:36:16Z</dcterms:created>
  <dcterms:modified xsi:type="dcterms:W3CDTF">2019-06-25T12:16:46Z</dcterms:modified>
  <cp:category/>
  <cp:version/>
  <cp:contentType/>
  <cp:contentStatus/>
</cp:coreProperties>
</file>