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9525" activeTab="0"/>
  </bookViews>
  <sheets>
    <sheet name="ГАИП  2018" sheetId="1" r:id="rId1"/>
  </sheets>
  <definedNames>
    <definedName name="_xlnm.Print_Titles" localSheetId="0">'ГАИП  2018'!$11:$12</definedName>
    <definedName name="_xlnm.Print_Area" localSheetId="0">'ГАИП  2018'!$A$1:$I$295</definedName>
  </definedNames>
  <calcPr fullCalcOnLoad="1"/>
</workbook>
</file>

<file path=xl/sharedStrings.xml><?xml version="1.0" encoding="utf-8"?>
<sst xmlns="http://schemas.openxmlformats.org/spreadsheetml/2006/main" count="453" uniqueCount="171">
  <si>
    <t>С.А. Ясакова</t>
  </si>
  <si>
    <t xml:space="preserve">Начальник отдела финансирования городского хозяйства                                                                           </t>
  </si>
  <si>
    <t>бюджета городского округа</t>
  </si>
  <si>
    <t>бюджета Воронежской области</t>
  </si>
  <si>
    <t>в том числе за счет средств:</t>
  </si>
  <si>
    <t>0700</t>
  </si>
  <si>
    <t xml:space="preserve">Подпрограмма «Развитие дошкольного образования» </t>
  </si>
  <si>
    <t>0709</t>
  </si>
  <si>
    <t>Муниципальная программа городского округа город Воронеж "Развитие образования"</t>
  </si>
  <si>
    <t xml:space="preserve"> Образование </t>
  </si>
  <si>
    <t xml:space="preserve">Управление имущественных и земельных отношений </t>
  </si>
  <si>
    <t xml:space="preserve">Комплексная жилая застройка микрорайона    А I по  ул. Острогожская р.п. Шилово  г. Воронеж. Общеобразовательная школа на 1224 места </t>
  </si>
  <si>
    <t>Подпрограмма "Развитие общего и дополнительного образования"</t>
  </si>
  <si>
    <t>федерального бюджета</t>
  </si>
  <si>
    <t>1003</t>
  </si>
  <si>
    <t xml:space="preserve">Муниципальная программа городского округа город Воронеж "Обеспечение доступным и комфортным жильём населения городского округа город Воронеж"                                                                                              </t>
  </si>
  <si>
    <t>1000</t>
  </si>
  <si>
    <t>Социальная политика</t>
  </si>
  <si>
    <t>1105</t>
  </si>
  <si>
    <t>Муниципальная  программа  городского округа город Воронеж "Развитие физической культуры и спорта"</t>
  </si>
  <si>
    <t>Реконструкция тренировочной площадки на стадионе "Локомотив"  г. Воронеж ул. Нариманова, д. 2</t>
  </si>
  <si>
    <t>15</t>
  </si>
  <si>
    <t>13</t>
  </si>
  <si>
    <t>Реконструкция тренировочной площадки на стадионе "Чайка"  г. Воронеж ул. Краснознаменная, д. 101</t>
  </si>
  <si>
    <t>12</t>
  </si>
  <si>
    <t xml:space="preserve">Основное мероприятие «Строительство и реконструкция физкультурно-спортивных сооружений на территории городского округа город Воронеж» </t>
  </si>
  <si>
    <t>1100</t>
  </si>
  <si>
    <t xml:space="preserve">Физическая культура и спорт </t>
  </si>
  <si>
    <t>Пристройка к МОУ СОШ № 84 в г. Воронеже по ул. Тепличная, 20б</t>
  </si>
  <si>
    <t>11</t>
  </si>
  <si>
    <t>10</t>
  </si>
  <si>
    <t>5</t>
  </si>
  <si>
    <t>0800</t>
  </si>
  <si>
    <t>Культура, кинематография</t>
  </si>
  <si>
    <t>Пристройка к МОУ СОШ №54 в городском округе город Воронеж</t>
  </si>
  <si>
    <t>9</t>
  </si>
  <si>
    <t>Комплексное освоение в целях жилищного строительства мкр по ул. Ильюшина,13 г. Воронежа общеобразовательная школа на 1224 места</t>
  </si>
  <si>
    <t>8</t>
  </si>
  <si>
    <t>7</t>
  </si>
  <si>
    <t>6</t>
  </si>
  <si>
    <t>4</t>
  </si>
  <si>
    <t>2</t>
  </si>
  <si>
    <t>3</t>
  </si>
  <si>
    <t>0505</t>
  </si>
  <si>
    <t>Канализование улиц Гастелло, Бунакова, Дуговой, пер. Дуговой в г. Воронеже</t>
  </si>
  <si>
    <t>1</t>
  </si>
  <si>
    <t>Подпрограмма «Чистая вода»</t>
  </si>
  <si>
    <t>0500</t>
  </si>
  <si>
    <t xml:space="preserve">Жилищно-коммунальное хозяйство                </t>
  </si>
  <si>
    <t>Управление строительной политики</t>
  </si>
  <si>
    <t>Основное мероприятие "Обеспечение жилыми помещениями граждан, уволенных с военной службы, и приравненных к ним лиц"</t>
  </si>
  <si>
    <t xml:space="preserve"> Подпрограмма "Молодой семье доступное жилье"</t>
  </si>
  <si>
    <t>0501</t>
  </si>
  <si>
    <t xml:space="preserve"> Подпрограмма "Переселение граждан из аварийного жилищного фонда"</t>
  </si>
  <si>
    <r>
      <t xml:space="preserve"> </t>
    </r>
    <r>
      <rPr>
        <b/>
        <sz val="13"/>
        <rFont val="Times New Roman"/>
        <family val="1"/>
      </rPr>
      <t>Муниципальная программа городского округа город Воронеж "Обеспечение доступным и комфортным жильём населения городского округа город Воронеж"</t>
    </r>
    <r>
      <rPr>
        <sz val="13"/>
        <rFont val="Times New Roman"/>
        <family val="1"/>
      </rPr>
      <t xml:space="preserve">                                                   </t>
    </r>
  </si>
  <si>
    <t xml:space="preserve">Управление жилищных отношений </t>
  </si>
  <si>
    <t>ВСЕГО</t>
  </si>
  <si>
    <t>Предложения УФБП</t>
  </si>
  <si>
    <t xml:space="preserve">План 
2013 год </t>
  </si>
  <si>
    <t>Раздел, подраздел</t>
  </si>
  <si>
    <t>Наименование объекта</t>
  </si>
  <si>
    <t xml:space="preserve"> № п/п</t>
  </si>
  <si>
    <t>тыс. рублей</t>
  </si>
  <si>
    <t xml:space="preserve">План 
2018 год </t>
  </si>
  <si>
    <t>0400</t>
  </si>
  <si>
    <t>межбюджетного трансферта из бюджета городского округа</t>
  </si>
  <si>
    <t>Образовательная школа на 1224 места по ул. Артамонова в г.Воронеж</t>
  </si>
  <si>
    <t>Общеобразовательная школа на 1101 место по адресу: г.Воронеж, жилой массив Олимпийский, 14</t>
  </si>
  <si>
    <t>г. Воронеж. Средняя школа на 1101 место по ул. Ф.Тютчева, 6</t>
  </si>
  <si>
    <t>Реконструкция тренировочной площадки на стадионе "Чайка"  г. Воронеж ул. Краснознаменная, д. 101 (искусственное покрытие)</t>
  </si>
  <si>
    <t>Спортивный зал на территории СОШ №23, ул. Димитрова, 81</t>
  </si>
  <si>
    <t>Физкультурно-оздоровительный комплекс открытого типа, ул. Краснознаменная, 74, МБОУ СОШ № 40 (включая ПИР)</t>
  </si>
  <si>
    <r>
      <t xml:space="preserve"> </t>
    </r>
    <r>
      <rPr>
        <sz val="13"/>
        <color indexed="8"/>
        <rFont val="Times New Roman"/>
        <family val="1"/>
      </rPr>
      <t>Физкультурно-оздоровительный комплекс открытого типа,  ул. Краснознаменная, 74, МБОУ СОШ № 40 (включая ПИР)</t>
    </r>
  </si>
  <si>
    <t>Физкультурно-оздоровительный комплекс открытого типа, ул. Переверткина, 16, МБОУ СОШ № 68 (включая ПИР)</t>
  </si>
  <si>
    <t>Физкультурно-оздоровительный комплекс открытого типа, ул. Черепанова, 18, МБОУ СОШ № 91 (включая ПИР)</t>
  </si>
  <si>
    <t>Физкультурно-оздоровительный комплекс открытого типа, ул. Генерала Лизюкова, 81, лицей №1(включая ПИР)</t>
  </si>
  <si>
    <t>20</t>
  </si>
  <si>
    <t>21</t>
  </si>
  <si>
    <t>19</t>
  </si>
  <si>
    <t>Пристройка к МОУ СОШ № 46 по ул.Горина, 61 (Подгорное)</t>
  </si>
  <si>
    <t xml:space="preserve">Национальная Экономика           </t>
  </si>
  <si>
    <t>0412</t>
  </si>
  <si>
    <t>Другие вопросы в области нацианальной экономики</t>
  </si>
  <si>
    <r>
      <t>Основное  мероприятие «Строительство, реконструкция и капитальный ремонт объектов коммунальной инфраструктуры»</t>
    </r>
    <r>
      <rPr>
        <sz val="14"/>
        <rFont val="Times New Roman"/>
        <family val="1"/>
      </rPr>
      <t xml:space="preserve"> </t>
    </r>
  </si>
  <si>
    <t xml:space="preserve">Основное  мероприятие «Строительство, реконструкция и капитальный ремонт объектов коммунальной инфраструктуры» </t>
  </si>
  <si>
    <t>Управление жилищно-коммунального хозяйства</t>
  </si>
  <si>
    <t>Модеринизация системы горячего водоснабжения по ул. 45 Стрелковой Дивизии к домам № 263, 265, 267, 269, 271 в г. Воронеже</t>
  </si>
  <si>
    <t>Строительство (установка) блочно-модульной водоподготовительной установки по улице Совхозная в мкр. Масловка в г. Воронеж</t>
  </si>
  <si>
    <t>Главный распорядитель бюджетных средств</t>
  </si>
  <si>
    <t>Канализование частного сектора квартала "Песчанка" Левый берег в г. Воронеже</t>
  </si>
  <si>
    <t>Общеобразовательная школа на 1224 места по ул. Шишкова, 140б в г.Воронеже,в том числе за счет средств:</t>
  </si>
  <si>
    <t>Детский сад на 310 мест по ул.Шишкова в г.Воронеже (включая ПИР),в том числе за счет средств:</t>
  </si>
  <si>
    <t>Детский сад на 150 мест в мкр. «Малышево»   г. Воронежа (включая ПИР),в том числе за счет средств:</t>
  </si>
  <si>
    <t>Детский сад на 150 мест в гмкр. «Подклетное», ул.Красочная,1 в г.Воронеже (включая ПИР),в том числе за счет средств:</t>
  </si>
  <si>
    <t>Детский сад на 220 мест по ул. Дмитрия Горина, 63 в  г. Воронеж (включая ПИР), в том числе за счет средств:</t>
  </si>
  <si>
    <t>Детский сад на 280 мест в мкр. «Боровое»    г. Воронежа (включая ПИР), в том числе за счет средств:</t>
  </si>
  <si>
    <t>Детский сад на 280 мест по ул. Артамонова в г. Воронеже (включая ПИР), в том числе за счет средств:</t>
  </si>
  <si>
    <t>14</t>
  </si>
  <si>
    <t>Пристройка спортивного зала к зданию МБОУ СОШ № 24 по адресу: ул. Генерала Лохматикова, 43 (включая ПИР)</t>
  </si>
  <si>
    <t>Спортивный зал на территории СОШ № 75 по адресу: г. Воронеж, ул. Ю. Янониса, 4 (включая ПИР)</t>
  </si>
  <si>
    <t>Физкультурно-оздоровительный комплекс на территории МБОУ гимназия № 7 им. Воронцова В.М., ул. Ростовская, 36 (включая ПИР)</t>
  </si>
  <si>
    <t>Приобретение в муниципальную собственность объекта «Детский сад на 220 мест по адресу: Воронежская область, городской округ город Воронеж, город Воронеж, массив Олимпийский, д. 15»</t>
  </si>
  <si>
    <t>Реконструкция квартальной системы теплоснабжения по пл. Ленина (жилые дома пл. Ленина, 3, ул. Платонова, 18)</t>
  </si>
  <si>
    <t>Реконструкция квартальной системы теплоснабжения по ул. Плехановская (жилые дома № 46, 48, 50, 52)</t>
  </si>
  <si>
    <t>Реконструкция квартальной системы теплоснабжения по ул. Плехановская (жилые дома № 60, 62, 64)</t>
  </si>
  <si>
    <t>Реконструкция квартальной системы теплоснабжения по ул. Плехановская (жилые дома №31, 33) и ул. Кольцовская (жилой дом №33)</t>
  </si>
  <si>
    <t>Реконструкция квартальной системы теплоснабжения по ул. Плехановская, 39 (образовательное учреждение)</t>
  </si>
  <si>
    <t>Муниципальная программа "Развитие культуры"</t>
  </si>
  <si>
    <t>Проектирование и строительство здания клуба "Краснолесье" в мкр. Краснолесный г. Воронеж</t>
  </si>
  <si>
    <t>0801</t>
  </si>
  <si>
    <t>Физкультурно-оздоровительный комплекс открытого типа,г. Воронеж примыкает к земельному участку ул. Воробьевская, 39  (включая ПИР)</t>
  </si>
  <si>
    <t>Модернизация системы горячего водоснабжения по ул. 45 Стрелковой Дивизии к домам № 263, 265, 267, 269, 271 в г. Воронеже</t>
  </si>
  <si>
    <t>Встроенный детский сад на 100 мест по адресу: Российская Федерация, Воронежская область, городской округ город Воронеж, город Воронеж, ул Краснознаменная, д 57/2, пом. 1/1</t>
  </si>
  <si>
    <t>Детский сад на 280 мест по адресу: г. Воронеж, ул. Козо-Полянского, 7 (включая ПИР)</t>
  </si>
  <si>
    <r>
      <t xml:space="preserve"> </t>
    </r>
    <r>
      <rPr>
        <b/>
        <sz val="13"/>
        <color indexed="8"/>
        <rFont val="Times New Roman"/>
        <family val="1"/>
      </rPr>
      <t>Физкультурно-оздоровительный комплекс открытого типа, мкр. Подклетное, ул. Арбатская, 38, МБОУ СОШ №25 (включая ПИР)</t>
    </r>
  </si>
  <si>
    <r>
      <t xml:space="preserve"> </t>
    </r>
    <r>
      <rPr>
        <b/>
        <sz val="13"/>
        <color indexed="8"/>
        <rFont val="Times New Roman"/>
        <family val="1"/>
      </rPr>
      <t>Физкультурно-оздоровительный комплекс открытого типа,  ул. Плехановская, 39, МБОУ СОШ № 35 (включая ПИР)</t>
    </r>
  </si>
  <si>
    <t>Пристройка к МОУ СОШ № 77  по пер. Звездный,2 (Масловка) (включая ПИР)</t>
  </si>
  <si>
    <t>Пристройка к МБОУ лицей № 4  по ул. Генерала Лизюкова, 87 (включая ПИР)</t>
  </si>
  <si>
    <t>ГОРОДСКАЯ АДРЕСНАЯ ИНВЕСТИЦИОННАЯ ПРОГРАММА ЗА 2018 ГОД</t>
  </si>
  <si>
    <t>Муниципальная программа городского округа город Воронеж "Обеспечение доступным и комфортным жильём населения городского округа город Воронеж"</t>
  </si>
  <si>
    <t>Муниципальная программа городского округа город Воронеж «Обеспечение коммунальными услугами населения городского округа город Воронеж»</t>
  </si>
  <si>
    <t>I.</t>
  </si>
  <si>
    <t xml:space="preserve">1. Жилищное хозяйство              </t>
  </si>
  <si>
    <t xml:space="preserve">2. Другие вопросы в области  жилищно-коммунального хозяйства             </t>
  </si>
  <si>
    <t>II.</t>
  </si>
  <si>
    <t>Другие вопросы в области образования</t>
  </si>
  <si>
    <t>16</t>
  </si>
  <si>
    <t>17</t>
  </si>
  <si>
    <t>18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</si>
  <si>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</si>
  <si>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</si>
  <si>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</si>
  <si>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</si>
  <si>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</si>
  <si>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</si>
  <si>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</si>
  <si>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</si>
  <si>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</si>
  <si>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</si>
  <si>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</si>
  <si>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III.</t>
  </si>
  <si>
    <t>Культура</t>
  </si>
  <si>
    <t>Подпрограмма "Сохранение и развитие культуры и искусства"</t>
  </si>
  <si>
    <t>33</t>
  </si>
  <si>
    <t>IV.</t>
  </si>
  <si>
    <t>Социальное обеспечение населения</t>
  </si>
  <si>
    <t>34</t>
  </si>
  <si>
    <t>35</t>
  </si>
  <si>
    <t>36</t>
  </si>
  <si>
    <t>Другие вопросы в области физической культуры и спорта</t>
  </si>
  <si>
    <t>37</t>
  </si>
  <si>
    <t>38</t>
  </si>
  <si>
    <t>39</t>
  </si>
  <si>
    <t>45</t>
  </si>
  <si>
    <t>46</t>
  </si>
  <si>
    <t>47</t>
  </si>
  <si>
    <t>Процент исполнения</t>
  </si>
  <si>
    <t>V.</t>
  </si>
  <si>
    <t xml:space="preserve">Факт
2018 год </t>
  </si>
  <si>
    <t>областного бюджета</t>
  </si>
  <si>
    <t>Реконструкция квартальной системы теплоснабжения по ул. Карла Маркса (жилые дома № 92, 92а)</t>
  </si>
  <si>
    <t>Реконструкция квартальной системы теплоснабжения по ул. Фридриха Энгельса (жилые дома № 40, 42)</t>
  </si>
  <si>
    <t>к решению Воронежской</t>
  </si>
  <si>
    <t>городской Думы</t>
  </si>
  <si>
    <t xml:space="preserve">                                                            Приложение № 7</t>
  </si>
  <si>
    <t xml:space="preserve">                              Глава городского округа</t>
  </si>
  <si>
    <t xml:space="preserve">                                      город Воронеж</t>
  </si>
  <si>
    <t>В.Ф.Ходырев</t>
  </si>
  <si>
    <t xml:space="preserve">  Председатель Воронежской</t>
  </si>
  <si>
    <t xml:space="preserve">                                                           В.Ю.Кстенин</t>
  </si>
  <si>
    <t>от 26.06.2019 № 1161-IV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</si>
</sst>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3"/>
      <color indexed="9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3"/>
      <color indexed="9"/>
      <name val="Times New Roman"/>
      <family val="1"/>
    </font>
    <font>
      <i/>
      <sz val="11"/>
      <name val="Times New Roman"/>
      <family val="1"/>
    </font>
    <font>
      <b/>
      <i/>
      <sz val="13"/>
      <name val="Times New Roman"/>
      <family val="1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24" borderId="0" xfId="0" applyFont="1" applyFill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3" fontId="2" fillId="24" borderId="0" xfId="0" applyNumberFormat="1" applyFont="1" applyFill="1" applyAlignment="1">
      <alignment horizontal="center" vertical="center" wrapText="1"/>
    </xf>
    <xf numFmtId="49" fontId="2" fillId="24" borderId="0" xfId="0" applyNumberFormat="1" applyFont="1" applyFill="1" applyAlignment="1">
      <alignment horizontal="center" vertical="center" wrapText="1"/>
    </xf>
    <xf numFmtId="0" fontId="3" fillId="24" borderId="0" xfId="0" applyFont="1" applyFill="1" applyBorder="1" applyAlignment="1">
      <alignment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 applyProtection="1">
      <alignment horizontal="center" vertical="center" wrapText="1"/>
      <protection/>
    </xf>
    <xf numFmtId="49" fontId="2" fillId="24" borderId="10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 applyProtection="1">
      <alignment horizontal="center" vertical="center" wrapText="1"/>
      <protection/>
    </xf>
    <xf numFmtId="49" fontId="5" fillId="24" borderId="10" xfId="0" applyNumberFormat="1" applyFont="1" applyFill="1" applyBorder="1" applyAlignment="1">
      <alignment horizontal="center" vertical="center" wrapText="1"/>
    </xf>
    <xf numFmtId="3" fontId="4" fillId="24" borderId="10" xfId="0" applyNumberFormat="1" applyFont="1" applyFill="1" applyBorder="1" applyAlignment="1" applyProtection="1">
      <alignment horizontal="center" vertical="center" wrapText="1"/>
      <protection/>
    </xf>
    <xf numFmtId="164" fontId="7" fillId="24" borderId="10" xfId="0" applyNumberFormat="1" applyFont="1" applyFill="1" applyBorder="1" applyAlignment="1">
      <alignment horizontal="center" vertical="center" wrapText="1"/>
    </xf>
    <xf numFmtId="3" fontId="7" fillId="24" borderId="10" xfId="0" applyNumberFormat="1" applyFont="1" applyFill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3" fontId="2" fillId="24" borderId="10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164" fontId="8" fillId="24" borderId="10" xfId="0" applyNumberFormat="1" applyFont="1" applyFill="1" applyBorder="1" applyAlignment="1">
      <alignment horizontal="center" vertical="center" wrapText="1"/>
    </xf>
    <xf numFmtId="164" fontId="9" fillId="24" borderId="10" xfId="0" applyNumberFormat="1" applyFont="1" applyFill="1" applyBorder="1" applyAlignment="1">
      <alignment horizontal="center" vertical="center" wrapText="1"/>
    </xf>
    <xf numFmtId="3" fontId="9" fillId="24" borderId="10" xfId="0" applyNumberFormat="1" applyFont="1" applyFill="1" applyBorder="1" applyAlignment="1">
      <alignment horizontal="center" vertical="center" wrapText="1"/>
    </xf>
    <xf numFmtId="49" fontId="10" fillId="24" borderId="10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3" fontId="3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164" fontId="13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49" fontId="5" fillId="24" borderId="11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center" wrapText="1"/>
    </xf>
    <xf numFmtId="3" fontId="3" fillId="24" borderId="11" xfId="0" applyNumberFormat="1" applyFont="1" applyFill="1" applyBorder="1" applyAlignment="1">
      <alignment horizontal="left" vertical="center" wrapText="1"/>
    </xf>
    <xf numFmtId="3" fontId="10" fillId="24" borderId="11" xfId="0" applyNumberFormat="1" applyFont="1" applyFill="1" applyBorder="1" applyAlignment="1">
      <alignment horizontal="center" vertical="center" wrapText="1"/>
    </xf>
    <xf numFmtId="49" fontId="11" fillId="24" borderId="11" xfId="0" applyNumberFormat="1" applyFont="1" applyFill="1" applyBorder="1" applyAlignment="1">
      <alignment horizontal="center" vertical="center" wrapText="1"/>
    </xf>
    <xf numFmtId="0" fontId="14" fillId="24" borderId="10" xfId="0" applyNumberFormat="1" applyFont="1" applyFill="1" applyBorder="1" applyAlignment="1" applyProtection="1">
      <alignment horizontal="center" vertical="center" wrapText="1"/>
      <protection/>
    </xf>
    <xf numFmtId="0" fontId="15" fillId="24" borderId="10" xfId="0" applyFont="1" applyFill="1" applyBorder="1" applyAlignment="1">
      <alignment horizontal="center" vertical="center" wrapText="1"/>
    </xf>
    <xf numFmtId="0" fontId="15" fillId="24" borderId="10" xfId="0" applyNumberFormat="1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left" vertical="center" wrapText="1"/>
    </xf>
    <xf numFmtId="164" fontId="4" fillId="24" borderId="10" xfId="0" applyNumberFormat="1" applyFont="1" applyFill="1" applyBorder="1" applyAlignment="1">
      <alignment horizontal="center" vertical="center" wrapText="1"/>
    </xf>
    <xf numFmtId="3" fontId="3" fillId="24" borderId="0" xfId="0" applyNumberFormat="1" applyFont="1" applyFill="1" applyAlignment="1">
      <alignment horizontal="center" vertical="center" wrapText="1"/>
    </xf>
    <xf numFmtId="3" fontId="2" fillId="24" borderId="0" xfId="0" applyNumberFormat="1" applyFont="1" applyFill="1" applyBorder="1" applyAlignment="1">
      <alignment horizontal="center" vertical="center" wrapText="1"/>
    </xf>
    <xf numFmtId="49" fontId="2" fillId="24" borderId="0" xfId="0" applyNumberFormat="1" applyFont="1" applyFill="1" applyBorder="1" applyAlignment="1">
      <alignment horizontal="center" vertical="center" wrapText="1"/>
    </xf>
    <xf numFmtId="164" fontId="3" fillId="24" borderId="0" xfId="0" applyNumberFormat="1" applyFont="1" applyFill="1" applyAlignment="1">
      <alignment horizontal="center" vertical="center" wrapText="1"/>
    </xf>
    <xf numFmtId="164" fontId="2" fillId="24" borderId="0" xfId="0" applyNumberFormat="1" applyFont="1" applyFill="1" applyAlignment="1">
      <alignment horizontal="center" vertical="center" wrapText="1"/>
    </xf>
    <xf numFmtId="0" fontId="4" fillId="24" borderId="11" xfId="0" applyNumberFormat="1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>
      <alignment horizontal="left" vertical="center" wrapText="1"/>
    </xf>
    <xf numFmtId="49" fontId="3" fillId="24" borderId="11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10" fillId="24" borderId="10" xfId="0" applyFont="1" applyFill="1" applyBorder="1" applyAlignment="1">
      <alignment horizontal="left" vertical="center" wrapText="1"/>
    </xf>
    <xf numFmtId="0" fontId="10" fillId="24" borderId="10" xfId="0" applyFont="1" applyFill="1" applyBorder="1" applyAlignment="1">
      <alignment horizontal="left" vertical="center" wrapText="1"/>
    </xf>
    <xf numFmtId="0" fontId="3" fillId="24" borderId="10" xfId="0" applyNumberFormat="1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 wrapText="1"/>
    </xf>
    <xf numFmtId="49" fontId="12" fillId="24" borderId="10" xfId="0" applyNumberFormat="1" applyFont="1" applyFill="1" applyBorder="1" applyAlignment="1">
      <alignment horizontal="center" vertical="center" wrapText="1"/>
    </xf>
    <xf numFmtId="49" fontId="12" fillId="24" borderId="11" xfId="0" applyNumberFormat="1" applyFont="1" applyFill="1" applyBorder="1" applyAlignment="1">
      <alignment horizontal="center" vertical="center" wrapText="1"/>
    </xf>
    <xf numFmtId="0" fontId="3" fillId="24" borderId="10" xfId="0" applyNumberFormat="1" applyFont="1" applyFill="1" applyBorder="1" applyAlignment="1" applyProtection="1">
      <alignment horizontal="center" vertical="center" wrapText="1"/>
      <protection/>
    </xf>
    <xf numFmtId="164" fontId="3" fillId="24" borderId="10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3" fontId="3" fillId="24" borderId="10" xfId="0" applyNumberFormat="1" applyFont="1" applyFill="1" applyBorder="1" applyAlignment="1" applyProtection="1">
      <alignment horizontal="center" vertical="center" wrapText="1"/>
      <protection/>
    </xf>
    <xf numFmtId="164" fontId="2" fillId="24" borderId="0" xfId="0" applyNumberFormat="1" applyFont="1" applyFill="1" applyBorder="1" applyAlignment="1">
      <alignment horizontal="center" vertical="center" wrapText="1"/>
    </xf>
    <xf numFmtId="3" fontId="12" fillId="24" borderId="11" xfId="0" applyNumberFormat="1" applyFont="1" applyFill="1" applyBorder="1" applyAlignment="1">
      <alignment horizontal="center" vertical="center" wrapText="1"/>
    </xf>
    <xf numFmtId="164" fontId="3" fillId="24" borderId="0" xfId="0" applyNumberFormat="1" applyFont="1" applyFill="1" applyBorder="1" applyAlignment="1">
      <alignment vertical="center" wrapText="1"/>
    </xf>
    <xf numFmtId="3" fontId="14" fillId="24" borderId="10" xfId="0" applyNumberFormat="1" applyFont="1" applyFill="1" applyBorder="1" applyAlignment="1">
      <alignment horizontal="center" vertical="center" wrapText="1"/>
    </xf>
    <xf numFmtId="3" fontId="4" fillId="24" borderId="10" xfId="0" applyNumberFormat="1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0" fontId="12" fillId="24" borderId="0" xfId="0" applyFont="1" applyFill="1" applyBorder="1" applyAlignment="1">
      <alignment horizontal="left" vertical="center" wrapText="1"/>
    </xf>
    <xf numFmtId="0" fontId="12" fillId="24" borderId="0" xfId="0" applyFont="1" applyFill="1" applyBorder="1" applyAlignment="1">
      <alignment vertical="center" wrapText="1"/>
    </xf>
    <xf numFmtId="164" fontId="12" fillId="24" borderId="0" xfId="0" applyNumberFormat="1" applyFont="1" applyFill="1" applyBorder="1" applyAlignment="1">
      <alignment vertical="center" wrapText="1"/>
    </xf>
    <xf numFmtId="164" fontId="5" fillId="24" borderId="0" xfId="0" applyNumberFormat="1" applyFont="1" applyFill="1" applyAlignment="1">
      <alignment horizontal="center" vertical="center" wrapText="1"/>
    </xf>
    <xf numFmtId="0" fontId="12" fillId="24" borderId="0" xfId="0" applyFont="1" applyFill="1" applyAlignment="1">
      <alignment horizontal="left" vertical="center" wrapText="1"/>
    </xf>
    <xf numFmtId="0" fontId="12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12" fillId="24" borderId="0" xfId="0" applyFont="1" applyFill="1" applyAlignment="1">
      <alignment horizontal="left" vertical="center" wrapText="1"/>
    </xf>
    <xf numFmtId="0" fontId="12" fillId="24" borderId="0" xfId="0" applyNumberFormat="1" applyFont="1" applyFill="1" applyBorder="1" applyAlignment="1" applyProtection="1">
      <alignment horizontal="center" vertical="center" wrapText="1"/>
      <protection/>
    </xf>
    <xf numFmtId="0" fontId="3" fillId="24" borderId="10" xfId="0" applyNumberFormat="1" applyFont="1" applyFill="1" applyBorder="1" applyAlignment="1" applyProtection="1">
      <alignment horizontal="center" vertical="center" wrapText="1"/>
      <protection/>
    </xf>
    <xf numFmtId="164" fontId="3" fillId="24" borderId="10" xfId="0" applyNumberFormat="1" applyFont="1" applyFill="1" applyBorder="1" applyAlignment="1">
      <alignment horizontal="center" vertical="center" wrapText="1"/>
    </xf>
    <xf numFmtId="3" fontId="3" fillId="24" borderId="10" xfId="0" applyNumberFormat="1" applyFont="1" applyFill="1" applyBorder="1" applyAlignment="1" applyProtection="1">
      <alignment horizontal="center" vertical="center" wrapText="1"/>
      <protection/>
    </xf>
    <xf numFmtId="164" fontId="3" fillId="24" borderId="10" xfId="0" applyNumberFormat="1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24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Border="1" applyAlignment="1">
      <alignment vertical="center" wrapText="1"/>
    </xf>
    <xf numFmtId="0" fontId="12" fillId="24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5"/>
  <sheetViews>
    <sheetView showZeros="0" tabSelected="1" view="pageBreakPreview" zoomScaleSheetLayoutView="100" zoomScalePageLayoutView="0" workbookViewId="0" topLeftCell="A1">
      <pane ySplit="28" topLeftCell="BM289" activePane="bottomLeft" state="frozen"/>
      <selection pane="topLeft" activeCell="A1" sqref="A1"/>
      <selection pane="bottomLeft" activeCell="H5" sqref="H5:I5"/>
    </sheetView>
  </sheetViews>
  <sheetFormatPr defaultColWidth="9.125" defaultRowHeight="12.75"/>
  <cols>
    <col min="1" max="1" width="5.25390625" style="4" customWidth="1"/>
    <col min="2" max="2" width="62.375" style="1" customWidth="1"/>
    <col min="3" max="3" width="9.125" style="1" customWidth="1"/>
    <col min="4" max="4" width="0.12890625" style="3" hidden="1" customWidth="1"/>
    <col min="5" max="5" width="13.125" style="3" hidden="1" customWidth="1"/>
    <col min="6" max="6" width="18.75390625" style="43" customWidth="1"/>
    <col min="7" max="7" width="16.25390625" style="43" customWidth="1"/>
    <col min="8" max="8" width="14.375" style="3" customWidth="1"/>
    <col min="9" max="9" width="25.00390625" style="1" customWidth="1"/>
    <col min="10" max="10" width="27.125" style="1" customWidth="1"/>
    <col min="11" max="11" width="18.625" style="1" customWidth="1"/>
    <col min="12" max="16384" width="9.125" style="1" customWidth="1"/>
  </cols>
  <sheetData>
    <row r="1" spans="1:8" ht="6" customHeight="1">
      <c r="A1" s="41"/>
      <c r="B1" s="2"/>
      <c r="C1" s="2"/>
      <c r="D1" s="40"/>
      <c r="E1" s="40"/>
      <c r="F1" s="59"/>
      <c r="G1" s="59"/>
      <c r="H1" s="40"/>
    </row>
    <row r="2" spans="1:9" ht="16.5">
      <c r="A2" s="1"/>
      <c r="B2" s="57"/>
      <c r="C2" s="57"/>
      <c r="D2" s="71" t="s">
        <v>164</v>
      </c>
      <c r="E2" s="71"/>
      <c r="F2" s="71"/>
      <c r="G2" s="71"/>
      <c r="H2" s="71"/>
      <c r="I2" s="71"/>
    </row>
    <row r="3" spans="1:9" ht="16.5">
      <c r="A3" s="1"/>
      <c r="B3" s="57"/>
      <c r="C3" s="57"/>
      <c r="D3" s="57"/>
      <c r="E3" s="57"/>
      <c r="F3" s="57"/>
      <c r="G3" s="57"/>
      <c r="H3" s="71" t="s">
        <v>162</v>
      </c>
      <c r="I3" s="72"/>
    </row>
    <row r="4" spans="1:9" ht="16.5">
      <c r="A4" s="1"/>
      <c r="B4" s="57"/>
      <c r="C4" s="57"/>
      <c r="D4" s="57"/>
      <c r="E4" s="57"/>
      <c r="F4" s="57"/>
      <c r="G4" s="57"/>
      <c r="H4" s="71" t="s">
        <v>163</v>
      </c>
      <c r="I4" s="72"/>
    </row>
    <row r="5" spans="1:9" ht="16.5">
      <c r="A5" s="1"/>
      <c r="B5" s="57"/>
      <c r="C5" s="57"/>
      <c r="D5" s="57"/>
      <c r="E5" s="57"/>
      <c r="F5" s="57"/>
      <c r="G5" s="57"/>
      <c r="H5" s="71" t="s">
        <v>170</v>
      </c>
      <c r="I5" s="72"/>
    </row>
    <row r="6" spans="1:8" ht="16.5">
      <c r="A6" s="41"/>
      <c r="B6" s="2"/>
      <c r="C6" s="2"/>
      <c r="D6" s="40"/>
      <c r="E6" s="40"/>
      <c r="F6" s="59"/>
      <c r="G6" s="59"/>
      <c r="H6" s="2"/>
    </row>
    <row r="7" spans="1:9" ht="16.5" customHeight="1">
      <c r="A7" s="74" t="s">
        <v>118</v>
      </c>
      <c r="B7" s="74"/>
      <c r="C7" s="74"/>
      <c r="D7" s="74"/>
      <c r="E7" s="74"/>
      <c r="F7" s="74"/>
      <c r="G7" s="74"/>
      <c r="H7" s="74"/>
      <c r="I7" s="74"/>
    </row>
    <row r="8" spans="1:8" ht="0.75" customHeight="1" hidden="1">
      <c r="A8" s="41"/>
      <c r="B8" s="2"/>
      <c r="C8" s="2"/>
      <c r="D8" s="40"/>
      <c r="E8" s="40"/>
      <c r="F8" s="59"/>
      <c r="G8" s="59"/>
      <c r="H8" s="40"/>
    </row>
    <row r="9" spans="1:8" ht="16.5" hidden="1">
      <c r="A9" s="1"/>
      <c r="B9" s="3"/>
      <c r="C9" s="39"/>
      <c r="D9" s="39"/>
      <c r="E9" s="39"/>
      <c r="F9" s="42"/>
      <c r="G9" s="42"/>
      <c r="H9" s="39"/>
    </row>
    <row r="10" spans="1:9" ht="16.5">
      <c r="A10" s="81" t="s">
        <v>62</v>
      </c>
      <c r="B10" s="81"/>
      <c r="C10" s="81"/>
      <c r="D10" s="81"/>
      <c r="E10" s="81"/>
      <c r="F10" s="81"/>
      <c r="G10" s="81"/>
      <c r="H10" s="81"/>
      <c r="I10" s="82"/>
    </row>
    <row r="11" spans="1:9" ht="21.75" customHeight="1">
      <c r="A11" s="75" t="s">
        <v>61</v>
      </c>
      <c r="B11" s="75" t="s">
        <v>60</v>
      </c>
      <c r="C11" s="76" t="s">
        <v>59</v>
      </c>
      <c r="D11" s="77" t="s">
        <v>58</v>
      </c>
      <c r="E11" s="77" t="s">
        <v>57</v>
      </c>
      <c r="F11" s="78" t="s">
        <v>63</v>
      </c>
      <c r="G11" s="78" t="s">
        <v>158</v>
      </c>
      <c r="H11" s="77" t="s">
        <v>156</v>
      </c>
      <c r="I11" s="77" t="s">
        <v>88</v>
      </c>
    </row>
    <row r="12" spans="1:9" ht="49.5" customHeight="1">
      <c r="A12" s="75"/>
      <c r="B12" s="75"/>
      <c r="C12" s="76"/>
      <c r="D12" s="77"/>
      <c r="E12" s="77"/>
      <c r="F12" s="78"/>
      <c r="G12" s="78"/>
      <c r="H12" s="77"/>
      <c r="I12" s="77"/>
    </row>
    <row r="13" spans="1:11" ht="16.5">
      <c r="A13" s="8"/>
      <c r="B13" s="55" t="s">
        <v>56</v>
      </c>
      <c r="C13" s="6"/>
      <c r="D13" s="23" t="e">
        <f>#REF!+#REF!+#REF!</f>
        <v>#REF!</v>
      </c>
      <c r="E13" s="56" t="e">
        <f>#REF!-D13</f>
        <v>#REF!</v>
      </c>
      <c r="F13" s="23">
        <f>SUM(F18+F16+F15)</f>
        <v>3216405.605</v>
      </c>
      <c r="G13" s="23">
        <f>SUM(G18+G16+G15)</f>
        <v>3178739</v>
      </c>
      <c r="H13" s="56">
        <f aca="true" t="shared" si="0" ref="H13:H44">IF(G13&gt;0,ROUND(G13*100/F13,1),)</f>
        <v>98.8</v>
      </c>
      <c r="I13" s="36"/>
      <c r="J13" s="3">
        <f>F29+F83+F190+F197+F209</f>
        <v>3216405.605</v>
      </c>
      <c r="K13" s="3">
        <f>G29+G83+G190+G197+G209</f>
        <v>3178739</v>
      </c>
    </row>
    <row r="14" spans="1:9" ht="16.5">
      <c r="A14" s="8"/>
      <c r="B14" s="9" t="s">
        <v>4</v>
      </c>
      <c r="C14" s="8"/>
      <c r="D14" s="23"/>
      <c r="E14" s="56"/>
      <c r="F14" s="15"/>
      <c r="G14" s="15"/>
      <c r="H14" s="56">
        <f t="shared" si="0"/>
        <v>0</v>
      </c>
      <c r="I14" s="36"/>
    </row>
    <row r="15" spans="1:9" ht="16.5">
      <c r="A15" s="8"/>
      <c r="B15" s="7" t="s">
        <v>13</v>
      </c>
      <c r="C15" s="8"/>
      <c r="D15" s="23"/>
      <c r="E15" s="56"/>
      <c r="F15" s="15">
        <f>F100+F105+F110+F116+F120+F124+F128+F143+F148+F154+F159+F165+F202+F208</f>
        <v>1203197</v>
      </c>
      <c r="G15" s="15">
        <f>G100+G105+G110+G116+G120+G124+G128+G143+G148+G154+G159+G165+G202+G208</f>
        <v>1201625</v>
      </c>
      <c r="H15" s="56">
        <f t="shared" si="0"/>
        <v>99.9</v>
      </c>
      <c r="I15" s="36"/>
    </row>
    <row r="16" spans="1:9" ht="16.5">
      <c r="A16" s="8"/>
      <c r="B16" s="7" t="s">
        <v>159</v>
      </c>
      <c r="C16" s="8"/>
      <c r="D16" s="23"/>
      <c r="E16" s="56"/>
      <c r="F16" s="15">
        <f>F35+F42+F46+F50+F54+F58+F62+F66+F70+F74+F90+F95+F101+F106+F111+F117+F121+F125+F129+F144+F149+F155+F160+F166+F173+F178+F182+F203+F219+F224+F239+F243+F248+F253+F258+F263+F272+F277+F283+F288</f>
        <v>1412315.005</v>
      </c>
      <c r="G16" s="15">
        <f>G35+G42+G46+G50+G54+G58+G62+G66+G70+G74+G90+G95+G101+G106+G111+G117+G121+G125+G129+G144+G149+G155+G160+G166+G173+G178+G182+G203+G219+G224+G239+G243+G248+G253+G258+G263+G272+G277+G283+G288</f>
        <v>1388551</v>
      </c>
      <c r="H16" s="56">
        <f t="shared" si="0"/>
        <v>98.3</v>
      </c>
      <c r="I16" s="6"/>
    </row>
    <row r="17" spans="1:9" ht="30" hidden="1">
      <c r="A17" s="8"/>
      <c r="B17" s="33" t="s">
        <v>65</v>
      </c>
      <c r="C17" s="8"/>
      <c r="D17" s="23"/>
      <c r="E17" s="56"/>
      <c r="F17" s="63" t="e">
        <f>#REF!+F150+#REF!+F161+F167</f>
        <v>#REF!</v>
      </c>
      <c r="G17" s="63" t="e">
        <f>#REF!+G150+#REF!+G161+G167</f>
        <v>#REF!</v>
      </c>
      <c r="H17" s="56" t="e">
        <f t="shared" si="0"/>
        <v>#REF!</v>
      </c>
      <c r="I17" s="36"/>
    </row>
    <row r="18" spans="1:9" ht="16.5">
      <c r="A18" s="8"/>
      <c r="B18" s="7" t="s">
        <v>2</v>
      </c>
      <c r="C18" s="8"/>
      <c r="D18" s="23"/>
      <c r="E18" s="56"/>
      <c r="F18" s="15">
        <f>F36+F43+F47+F51+F55+F59+F63+F67+F71+F75+F79+F82+F91+F96+F102+F107+F112+F118+F122+F126+F130+F140+F145+F151+F156++F162+F168+F174+F179+F183+F186+F189+F196+F205+F220+F225+F240+F244+F249+F254+F259+F273+F284+F289+F264+F278</f>
        <v>600893.6</v>
      </c>
      <c r="G18" s="15">
        <f>G36+G43+G47+G51+G55+G59+G63+G67+G71+G75+G79+G82+G91+G96+G102+G107+G112+G118+G122+G126+G130+G140+G145+G151+G156++G162+G168+G174+G179+G183+G186+G189+G196+G205+G220+G225+G240+G244+G249+G254+G259+G273+G284+G289+G264+G278</f>
        <v>588563</v>
      </c>
      <c r="H18" s="56">
        <f t="shared" si="0"/>
        <v>97.9</v>
      </c>
      <c r="I18" s="36"/>
    </row>
    <row r="19" spans="1:9" ht="21" customHeight="1" hidden="1">
      <c r="A19" s="16"/>
      <c r="B19" s="27" t="s">
        <v>80</v>
      </c>
      <c r="C19" s="16" t="s">
        <v>64</v>
      </c>
      <c r="D19" s="23" t="e">
        <f>#REF!+#REF!</f>
        <v>#REF!</v>
      </c>
      <c r="E19" s="56" t="e">
        <f>#REF!-D19</f>
        <v>#REF!</v>
      </c>
      <c r="F19" s="23">
        <f>F22</f>
        <v>0</v>
      </c>
      <c r="G19" s="23">
        <f>G22</f>
        <v>0</v>
      </c>
      <c r="H19" s="6">
        <f t="shared" si="0"/>
        <v>0</v>
      </c>
      <c r="I19" s="36"/>
    </row>
    <row r="20" spans="1:9" ht="21" customHeight="1" hidden="1">
      <c r="A20" s="16"/>
      <c r="B20" s="34" t="s">
        <v>82</v>
      </c>
      <c r="C20" s="16" t="s">
        <v>81</v>
      </c>
      <c r="D20" s="23"/>
      <c r="E20" s="56"/>
      <c r="F20" s="23">
        <f>F21</f>
        <v>0</v>
      </c>
      <c r="G20" s="23">
        <f>G21</f>
        <v>0</v>
      </c>
      <c r="H20" s="6">
        <f t="shared" si="0"/>
        <v>0</v>
      </c>
      <c r="I20" s="36"/>
    </row>
    <row r="21" spans="1:9" ht="0.75" customHeight="1" hidden="1">
      <c r="A21" s="16"/>
      <c r="B21" s="25" t="s">
        <v>54</v>
      </c>
      <c r="C21" s="16" t="s">
        <v>52</v>
      </c>
      <c r="D21" s="23"/>
      <c r="E21" s="56"/>
      <c r="F21" s="23">
        <f>F22</f>
        <v>0</v>
      </c>
      <c r="G21" s="23">
        <f>G22</f>
        <v>0</v>
      </c>
      <c r="H21" s="6">
        <f t="shared" si="0"/>
        <v>0</v>
      </c>
      <c r="I21" s="36"/>
    </row>
    <row r="22" spans="1:9" ht="64.5" customHeight="1" hidden="1">
      <c r="A22" s="16" t="s">
        <v>45</v>
      </c>
      <c r="B22" s="17" t="s">
        <v>83</v>
      </c>
      <c r="C22" s="16" t="s">
        <v>81</v>
      </c>
      <c r="D22" s="23"/>
      <c r="E22" s="56"/>
      <c r="F22" s="23">
        <f>F25+F26+F27</f>
        <v>0</v>
      </c>
      <c r="G22" s="23">
        <f>G25+G26+G27</f>
        <v>0</v>
      </c>
      <c r="H22" s="6">
        <f t="shared" si="0"/>
        <v>0</v>
      </c>
      <c r="I22" s="36"/>
    </row>
    <row r="23" spans="1:9" ht="55.5" customHeight="1" hidden="1">
      <c r="A23" s="16"/>
      <c r="B23" s="17" t="s">
        <v>86</v>
      </c>
      <c r="C23" s="16" t="s">
        <v>81</v>
      </c>
      <c r="D23" s="23"/>
      <c r="E23" s="56"/>
      <c r="F23" s="23">
        <f>F26+F27</f>
        <v>0</v>
      </c>
      <c r="G23" s="23">
        <f>G26+G27</f>
        <v>0</v>
      </c>
      <c r="H23" s="6"/>
      <c r="I23" s="36"/>
    </row>
    <row r="24" spans="1:9" ht="21" customHeight="1" hidden="1">
      <c r="A24" s="16"/>
      <c r="B24" s="11" t="s">
        <v>4</v>
      </c>
      <c r="C24" s="8"/>
      <c r="D24" s="15"/>
      <c r="E24" s="6"/>
      <c r="F24" s="15"/>
      <c r="G24" s="15"/>
      <c r="H24" s="6">
        <f t="shared" si="0"/>
        <v>0</v>
      </c>
      <c r="I24" s="36"/>
    </row>
    <row r="25" spans="1:9" ht="21" customHeight="1" hidden="1">
      <c r="A25" s="16"/>
      <c r="B25" s="24" t="s">
        <v>13</v>
      </c>
      <c r="C25" s="8"/>
      <c r="D25" s="15"/>
      <c r="E25" s="6"/>
      <c r="F25" s="15"/>
      <c r="G25" s="15"/>
      <c r="H25" s="6">
        <f t="shared" si="0"/>
        <v>0</v>
      </c>
      <c r="I25" s="36"/>
    </row>
    <row r="26" spans="1:9" ht="21" customHeight="1" hidden="1">
      <c r="A26" s="16"/>
      <c r="B26" s="11" t="s">
        <v>3</v>
      </c>
      <c r="C26" s="8"/>
      <c r="D26" s="15"/>
      <c r="E26" s="6"/>
      <c r="F26" s="15"/>
      <c r="G26" s="15"/>
      <c r="H26" s="6">
        <f t="shared" si="0"/>
        <v>0</v>
      </c>
      <c r="I26" s="36"/>
    </row>
    <row r="27" spans="1:9" ht="20.25" customHeight="1" hidden="1">
      <c r="A27" s="16"/>
      <c r="B27" s="9" t="s">
        <v>2</v>
      </c>
      <c r="C27" s="8"/>
      <c r="D27" s="15"/>
      <c r="E27" s="6"/>
      <c r="F27" s="15"/>
      <c r="G27" s="15"/>
      <c r="H27" s="6">
        <f t="shared" si="0"/>
        <v>0</v>
      </c>
      <c r="I27" s="36"/>
    </row>
    <row r="28" spans="1:9" ht="21" customHeight="1" hidden="1">
      <c r="A28" s="53"/>
      <c r="B28" s="55"/>
      <c r="C28" s="53"/>
      <c r="D28" s="53"/>
      <c r="E28" s="53"/>
      <c r="F28" s="58"/>
      <c r="G28" s="58"/>
      <c r="H28" s="6"/>
      <c r="I28" s="36"/>
    </row>
    <row r="29" spans="1:9" ht="21" customHeight="1">
      <c r="A29" s="53" t="s">
        <v>121</v>
      </c>
      <c r="B29" s="27" t="s">
        <v>48</v>
      </c>
      <c r="C29" s="16" t="s">
        <v>47</v>
      </c>
      <c r="D29" s="53"/>
      <c r="E29" s="53"/>
      <c r="F29" s="58">
        <f>F30+F37</f>
        <v>485832</v>
      </c>
      <c r="G29" s="58">
        <f>G30+G37</f>
        <v>456371</v>
      </c>
      <c r="H29" s="56">
        <f t="shared" si="0"/>
        <v>93.9</v>
      </c>
      <c r="I29" s="36"/>
    </row>
    <row r="30" spans="1:9" ht="21" customHeight="1">
      <c r="A30" s="53"/>
      <c r="B30" s="27" t="s">
        <v>122</v>
      </c>
      <c r="C30" s="16" t="s">
        <v>52</v>
      </c>
      <c r="D30" s="53"/>
      <c r="E30" s="53"/>
      <c r="F30" s="58">
        <f>F31</f>
        <v>398929</v>
      </c>
      <c r="G30" s="58">
        <f>G31</f>
        <v>378139</v>
      </c>
      <c r="H30" s="56">
        <f t="shared" si="0"/>
        <v>94.8</v>
      </c>
      <c r="I30" s="36"/>
    </row>
    <row r="31" spans="1:9" ht="65.25" customHeight="1">
      <c r="A31" s="53"/>
      <c r="B31" s="17" t="s">
        <v>119</v>
      </c>
      <c r="C31" s="16"/>
      <c r="D31" s="53"/>
      <c r="E31" s="53"/>
      <c r="F31" s="58">
        <f>F32</f>
        <v>398929</v>
      </c>
      <c r="G31" s="58">
        <f>G32</f>
        <v>378139</v>
      </c>
      <c r="H31" s="56">
        <f t="shared" si="0"/>
        <v>94.8</v>
      </c>
      <c r="I31" s="36"/>
    </row>
    <row r="32" spans="1:9" ht="53.25" customHeight="1">
      <c r="A32" s="16" t="s">
        <v>45</v>
      </c>
      <c r="B32" s="17" t="s">
        <v>53</v>
      </c>
      <c r="C32" s="16" t="s">
        <v>52</v>
      </c>
      <c r="D32" s="23"/>
      <c r="E32" s="56"/>
      <c r="F32" s="23">
        <f>F34+F35+F36</f>
        <v>398929</v>
      </c>
      <c r="G32" s="23">
        <f>G34+G35+G36</f>
        <v>378139</v>
      </c>
      <c r="H32" s="56">
        <f>IF(G32&gt;0,ROUND(G32*100/F32,1),)</f>
        <v>94.8</v>
      </c>
      <c r="I32" s="36" t="s">
        <v>55</v>
      </c>
    </row>
    <row r="33" spans="1:9" ht="21" customHeight="1">
      <c r="A33" s="16"/>
      <c r="B33" s="11" t="s">
        <v>4</v>
      </c>
      <c r="C33" s="8"/>
      <c r="D33" s="15"/>
      <c r="E33" s="6"/>
      <c r="F33" s="15"/>
      <c r="G33" s="15"/>
      <c r="H33" s="6">
        <f>IF(G33&gt;0,ROUND(G33*100/F33,1),)</f>
        <v>0</v>
      </c>
      <c r="I33" s="36"/>
    </row>
    <row r="34" spans="1:9" ht="21" customHeight="1" hidden="1">
      <c r="A34" s="16"/>
      <c r="B34" s="24" t="s">
        <v>13</v>
      </c>
      <c r="C34" s="8"/>
      <c r="D34" s="15"/>
      <c r="E34" s="6"/>
      <c r="F34" s="15"/>
      <c r="G34" s="15"/>
      <c r="H34" s="6">
        <f>IF(G34&gt;0,ROUND(G34*100/F34,1),)</f>
        <v>0</v>
      </c>
      <c r="I34" s="36"/>
    </row>
    <row r="35" spans="1:9" ht="21" customHeight="1">
      <c r="A35" s="16"/>
      <c r="B35" s="11" t="s">
        <v>159</v>
      </c>
      <c r="C35" s="8"/>
      <c r="D35" s="15"/>
      <c r="E35" s="6"/>
      <c r="F35" s="15">
        <v>260057</v>
      </c>
      <c r="G35" s="15">
        <v>244182</v>
      </c>
      <c r="H35" s="6">
        <f>IF(G35&gt;0,ROUND(G35*100/F35,1),)</f>
        <v>93.9</v>
      </c>
      <c r="I35" s="36"/>
    </row>
    <row r="36" spans="1:9" ht="21" customHeight="1">
      <c r="A36" s="16"/>
      <c r="B36" s="9" t="s">
        <v>2</v>
      </c>
      <c r="C36" s="8"/>
      <c r="D36" s="15"/>
      <c r="E36" s="6"/>
      <c r="F36" s="15">
        <f>140889-2017</f>
        <v>138872</v>
      </c>
      <c r="G36" s="15">
        <v>133957</v>
      </c>
      <c r="H36" s="6">
        <f>IF(G36&gt;0,ROUND(G36*100/F36,1),)</f>
        <v>96.5</v>
      </c>
      <c r="I36" s="36"/>
    </row>
    <row r="37" spans="1:9" ht="41.25" customHeight="1">
      <c r="A37" s="16"/>
      <c r="B37" s="27" t="s">
        <v>123</v>
      </c>
      <c r="C37" s="16" t="s">
        <v>43</v>
      </c>
      <c r="D37" s="15"/>
      <c r="E37" s="6"/>
      <c r="F37" s="23">
        <f>F38</f>
        <v>86903</v>
      </c>
      <c r="G37" s="23">
        <f>G38</f>
        <v>78232</v>
      </c>
      <c r="H37" s="56">
        <f t="shared" si="0"/>
        <v>90</v>
      </c>
      <c r="I37" s="36"/>
    </row>
    <row r="38" spans="1:9" ht="54" customHeight="1">
      <c r="A38" s="53"/>
      <c r="B38" s="17" t="s">
        <v>120</v>
      </c>
      <c r="C38" s="16"/>
      <c r="D38" s="53"/>
      <c r="E38" s="53"/>
      <c r="F38" s="58">
        <f>F39+F76</f>
        <v>86903</v>
      </c>
      <c r="G38" s="58">
        <f>G39+G76</f>
        <v>78232</v>
      </c>
      <c r="H38" s="56">
        <f t="shared" si="0"/>
        <v>90</v>
      </c>
      <c r="I38" s="36"/>
    </row>
    <row r="39" spans="1:9" s="57" customFormat="1" ht="52.5" customHeight="1">
      <c r="A39" s="16"/>
      <c r="B39" s="17" t="s">
        <v>84</v>
      </c>
      <c r="C39" s="16" t="s">
        <v>43</v>
      </c>
      <c r="D39" s="15"/>
      <c r="E39" s="6"/>
      <c r="F39" s="23">
        <f>F72+F40+F44+F48+F52+F56+F60+F64+F68</f>
        <v>63137</v>
      </c>
      <c r="G39" s="23">
        <f>G72+G40+G44+G48+G52+G56+G60+G64+G68</f>
        <v>58301</v>
      </c>
      <c r="H39" s="56">
        <f t="shared" si="0"/>
        <v>92.3</v>
      </c>
      <c r="I39" s="27"/>
    </row>
    <row r="40" spans="1:9" s="57" customFormat="1" ht="65.25" customHeight="1">
      <c r="A40" s="16" t="s">
        <v>41</v>
      </c>
      <c r="B40" s="17" t="s">
        <v>111</v>
      </c>
      <c r="C40" s="16" t="s">
        <v>43</v>
      </c>
      <c r="D40" s="23"/>
      <c r="E40" s="56"/>
      <c r="F40" s="23">
        <f>F42+F43</f>
        <v>24771</v>
      </c>
      <c r="G40" s="23">
        <f>SUM(G42:G43)</f>
        <v>23590</v>
      </c>
      <c r="H40" s="56">
        <f t="shared" si="0"/>
        <v>95.2</v>
      </c>
      <c r="I40" s="36" t="s">
        <v>85</v>
      </c>
    </row>
    <row r="41" spans="1:9" s="57" customFormat="1" ht="20.25" customHeight="1">
      <c r="A41" s="16"/>
      <c r="B41" s="11" t="s">
        <v>4</v>
      </c>
      <c r="C41" s="8"/>
      <c r="D41" s="15"/>
      <c r="E41" s="6"/>
      <c r="F41" s="15"/>
      <c r="G41" s="15"/>
      <c r="H41" s="6"/>
      <c r="I41" s="27"/>
    </row>
    <row r="42" spans="1:9" s="57" customFormat="1" ht="20.25" customHeight="1">
      <c r="A42" s="16"/>
      <c r="B42" s="11" t="s">
        <v>159</v>
      </c>
      <c r="C42" s="8"/>
      <c r="D42" s="15"/>
      <c r="E42" s="6"/>
      <c r="F42" s="15">
        <v>17389</v>
      </c>
      <c r="G42" s="15">
        <v>16560</v>
      </c>
      <c r="H42" s="6">
        <f>IF(G42&gt;0,ROUND(G42*100/F42,1),)</f>
        <v>95.2</v>
      </c>
      <c r="I42" s="27"/>
    </row>
    <row r="43" spans="1:9" s="57" customFormat="1" ht="20.25" customHeight="1">
      <c r="A43" s="16"/>
      <c r="B43" s="9" t="s">
        <v>2</v>
      </c>
      <c r="C43" s="8"/>
      <c r="D43" s="15"/>
      <c r="E43" s="6"/>
      <c r="F43" s="15">
        <v>7382</v>
      </c>
      <c r="G43" s="15">
        <v>7030</v>
      </c>
      <c r="H43" s="6">
        <f>IF(G43&gt;0,ROUND(G43*100/F43,1),)</f>
        <v>95.2</v>
      </c>
      <c r="I43" s="27"/>
    </row>
    <row r="44" spans="1:9" s="57" customFormat="1" ht="63" customHeight="1">
      <c r="A44" s="16" t="s">
        <v>42</v>
      </c>
      <c r="B44" s="17" t="s">
        <v>102</v>
      </c>
      <c r="C44" s="16" t="s">
        <v>43</v>
      </c>
      <c r="D44" s="23"/>
      <c r="E44" s="56"/>
      <c r="F44" s="23">
        <f>F46+F47</f>
        <v>4749</v>
      </c>
      <c r="G44" s="23">
        <f>SUM(G46:G47)</f>
        <v>4721</v>
      </c>
      <c r="H44" s="56">
        <f t="shared" si="0"/>
        <v>99.4</v>
      </c>
      <c r="I44" s="36" t="s">
        <v>85</v>
      </c>
    </row>
    <row r="45" spans="1:9" s="57" customFormat="1" ht="20.25" customHeight="1">
      <c r="A45" s="16"/>
      <c r="B45" s="11" t="s">
        <v>4</v>
      </c>
      <c r="C45" s="8"/>
      <c r="D45" s="15"/>
      <c r="E45" s="6"/>
      <c r="F45" s="15"/>
      <c r="G45" s="15"/>
      <c r="H45" s="6"/>
      <c r="I45" s="27"/>
    </row>
    <row r="46" spans="1:9" s="57" customFormat="1" ht="20.25" customHeight="1">
      <c r="A46" s="16"/>
      <c r="B46" s="11" t="s">
        <v>159</v>
      </c>
      <c r="C46" s="8"/>
      <c r="D46" s="15"/>
      <c r="E46" s="6"/>
      <c r="F46" s="15">
        <v>3341</v>
      </c>
      <c r="G46" s="15">
        <v>3314</v>
      </c>
      <c r="H46" s="6">
        <f>IF(G46&gt;0,ROUND(G46*100/F46,1),)</f>
        <v>99.2</v>
      </c>
      <c r="I46" s="27"/>
    </row>
    <row r="47" spans="1:9" s="57" customFormat="1" ht="20.25" customHeight="1">
      <c r="A47" s="16"/>
      <c r="B47" s="9" t="s">
        <v>2</v>
      </c>
      <c r="C47" s="8"/>
      <c r="D47" s="15"/>
      <c r="E47" s="6"/>
      <c r="F47" s="15">
        <v>1408</v>
      </c>
      <c r="G47" s="15">
        <v>1407</v>
      </c>
      <c r="H47" s="6">
        <f>IF(G47&gt;0,ROUND(G47*100/F47,1),)</f>
        <v>99.9</v>
      </c>
      <c r="I47" s="27"/>
    </row>
    <row r="48" spans="1:9" s="57" customFormat="1" ht="57.75" customHeight="1">
      <c r="A48" s="16" t="s">
        <v>40</v>
      </c>
      <c r="B48" s="17" t="s">
        <v>160</v>
      </c>
      <c r="C48" s="16" t="s">
        <v>43</v>
      </c>
      <c r="D48" s="23"/>
      <c r="E48" s="56"/>
      <c r="F48" s="23">
        <f>F50+F51</f>
        <v>4975</v>
      </c>
      <c r="G48" s="23">
        <f>SUM(G50:G51)</f>
        <v>3779</v>
      </c>
      <c r="H48" s="56">
        <f>IF(G48&gt;0,ROUND(G48*100/F48,1),)</f>
        <v>76</v>
      </c>
      <c r="I48" s="36" t="s">
        <v>85</v>
      </c>
    </row>
    <row r="49" spans="1:9" s="57" customFormat="1" ht="20.25" customHeight="1">
      <c r="A49" s="16"/>
      <c r="B49" s="11" t="s">
        <v>4</v>
      </c>
      <c r="C49" s="8"/>
      <c r="D49" s="15"/>
      <c r="E49" s="6"/>
      <c r="F49" s="15"/>
      <c r="G49" s="15"/>
      <c r="H49" s="6"/>
      <c r="I49" s="27"/>
    </row>
    <row r="50" spans="1:9" s="57" customFormat="1" ht="20.25" customHeight="1">
      <c r="A50" s="16"/>
      <c r="B50" s="11" t="s">
        <v>159</v>
      </c>
      <c r="C50" s="8"/>
      <c r="D50" s="15"/>
      <c r="E50" s="6"/>
      <c r="F50" s="15">
        <v>3583</v>
      </c>
      <c r="G50" s="15">
        <v>2653</v>
      </c>
      <c r="H50" s="6">
        <f>IF(G50&gt;0,ROUND(G50*100/F50,1),)</f>
        <v>74</v>
      </c>
      <c r="I50" s="27"/>
    </row>
    <row r="51" spans="1:9" s="57" customFormat="1" ht="20.25" customHeight="1">
      <c r="A51" s="16"/>
      <c r="B51" s="9" t="s">
        <v>2</v>
      </c>
      <c r="C51" s="8"/>
      <c r="D51" s="15"/>
      <c r="E51" s="6"/>
      <c r="F51" s="15">
        <v>1392</v>
      </c>
      <c r="G51" s="15">
        <v>1126</v>
      </c>
      <c r="H51" s="6">
        <f>IF(G51&gt;0,ROUND(G51*100/F51,1),)</f>
        <v>80.9</v>
      </c>
      <c r="I51" s="27"/>
    </row>
    <row r="52" spans="1:9" s="57" customFormat="1" ht="52.5" customHeight="1">
      <c r="A52" s="16" t="s">
        <v>31</v>
      </c>
      <c r="B52" s="17" t="s">
        <v>103</v>
      </c>
      <c r="C52" s="16" t="s">
        <v>43</v>
      </c>
      <c r="D52" s="23"/>
      <c r="E52" s="56"/>
      <c r="F52" s="23">
        <f>F54+F55</f>
        <v>2605</v>
      </c>
      <c r="G52" s="23">
        <f>SUM(G54:G55)</f>
        <v>2164</v>
      </c>
      <c r="H52" s="56">
        <f>IF(G52&gt;0,ROUND(G52*100/F52,1),)</f>
        <v>83.1</v>
      </c>
      <c r="I52" s="36" t="s">
        <v>85</v>
      </c>
    </row>
    <row r="53" spans="1:9" s="57" customFormat="1" ht="20.25" customHeight="1">
      <c r="A53" s="16"/>
      <c r="B53" s="11" t="s">
        <v>4</v>
      </c>
      <c r="C53" s="8"/>
      <c r="D53" s="15"/>
      <c r="E53" s="6"/>
      <c r="F53" s="15"/>
      <c r="G53" s="15"/>
      <c r="H53" s="6"/>
      <c r="I53" s="27"/>
    </row>
    <row r="54" spans="1:9" s="57" customFormat="1" ht="20.25" customHeight="1">
      <c r="A54" s="16"/>
      <c r="B54" s="11" t="s">
        <v>159</v>
      </c>
      <c r="C54" s="8"/>
      <c r="D54" s="15"/>
      <c r="E54" s="6"/>
      <c r="F54" s="15">
        <v>1960</v>
      </c>
      <c r="G54" s="15">
        <v>1519</v>
      </c>
      <c r="H54" s="6">
        <f>IF(G54&gt;0,ROUND(G54*100/F54,1),)</f>
        <v>77.5</v>
      </c>
      <c r="I54" s="27"/>
    </row>
    <row r="55" spans="1:9" s="57" customFormat="1" ht="21" customHeight="1">
      <c r="A55" s="16"/>
      <c r="B55" s="9" t="s">
        <v>2</v>
      </c>
      <c r="C55" s="8"/>
      <c r="D55" s="15"/>
      <c r="E55" s="6"/>
      <c r="F55" s="15">
        <v>645</v>
      </c>
      <c r="G55" s="15">
        <v>645</v>
      </c>
      <c r="H55" s="6">
        <f>IF(G55&gt;0,ROUND(G55*100/F55,1),)</f>
        <v>100</v>
      </c>
      <c r="I55" s="27"/>
    </row>
    <row r="56" spans="1:9" s="57" customFormat="1" ht="54.75" customHeight="1">
      <c r="A56" s="16" t="s">
        <v>39</v>
      </c>
      <c r="B56" s="17" t="s">
        <v>104</v>
      </c>
      <c r="C56" s="16" t="s">
        <v>43</v>
      </c>
      <c r="D56" s="23"/>
      <c r="E56" s="56"/>
      <c r="F56" s="23">
        <f>F58+F59</f>
        <v>5805</v>
      </c>
      <c r="G56" s="23">
        <f>SUM(G58:G59)</f>
        <v>5250</v>
      </c>
      <c r="H56" s="56">
        <f>IF(G56&gt;0,ROUND(G56*100/F56,1),)</f>
        <v>90.4</v>
      </c>
      <c r="I56" s="36" t="s">
        <v>85</v>
      </c>
    </row>
    <row r="57" spans="1:9" s="57" customFormat="1" ht="21" customHeight="1">
      <c r="A57" s="16"/>
      <c r="B57" s="11" t="s">
        <v>4</v>
      </c>
      <c r="C57" s="8"/>
      <c r="D57" s="15"/>
      <c r="E57" s="6"/>
      <c r="F57" s="15"/>
      <c r="G57" s="15"/>
      <c r="H57" s="6"/>
      <c r="I57" s="27"/>
    </row>
    <row r="58" spans="1:9" s="57" customFormat="1" ht="21" customHeight="1">
      <c r="A58" s="16"/>
      <c r="B58" s="11" t="s">
        <v>159</v>
      </c>
      <c r="C58" s="8"/>
      <c r="D58" s="15"/>
      <c r="E58" s="6"/>
      <c r="F58" s="15">
        <v>4075</v>
      </c>
      <c r="G58" s="15">
        <v>3685</v>
      </c>
      <c r="H58" s="6">
        <f>IF(G58&gt;0,ROUND(G58*100/F58,1),)</f>
        <v>90.4</v>
      </c>
      <c r="I58" s="27"/>
    </row>
    <row r="59" spans="1:9" s="57" customFormat="1" ht="21" customHeight="1">
      <c r="A59" s="16"/>
      <c r="B59" s="9" t="s">
        <v>2</v>
      </c>
      <c r="C59" s="8"/>
      <c r="D59" s="15"/>
      <c r="E59" s="6"/>
      <c r="F59" s="15">
        <v>1730</v>
      </c>
      <c r="G59" s="15">
        <v>1565</v>
      </c>
      <c r="H59" s="6">
        <f>IF(G59&gt;0,ROUND(G59*100/F59,1),)</f>
        <v>90.5</v>
      </c>
      <c r="I59" s="27"/>
    </row>
    <row r="60" spans="1:9" s="57" customFormat="1" ht="57.75" customHeight="1">
      <c r="A60" s="16" t="s">
        <v>38</v>
      </c>
      <c r="B60" s="17" t="s">
        <v>105</v>
      </c>
      <c r="C60" s="16" t="s">
        <v>43</v>
      </c>
      <c r="D60" s="23"/>
      <c r="E60" s="56"/>
      <c r="F60" s="23">
        <f>F62+F63</f>
        <v>1233</v>
      </c>
      <c r="G60" s="23">
        <f>SUM(G62:G63)</f>
        <v>992</v>
      </c>
      <c r="H60" s="56">
        <f>IF(G60&gt;0,ROUND(G60*100/F60,1),)</f>
        <v>80.5</v>
      </c>
      <c r="I60" s="36" t="s">
        <v>85</v>
      </c>
    </row>
    <row r="61" spans="1:9" s="57" customFormat="1" ht="21" customHeight="1">
      <c r="A61" s="16"/>
      <c r="B61" s="11" t="s">
        <v>4</v>
      </c>
      <c r="C61" s="8"/>
      <c r="D61" s="15"/>
      <c r="E61" s="6"/>
      <c r="F61" s="15"/>
      <c r="G61" s="15"/>
      <c r="H61" s="6"/>
      <c r="I61" s="27"/>
    </row>
    <row r="62" spans="1:9" s="57" customFormat="1" ht="21" customHeight="1">
      <c r="A62" s="16"/>
      <c r="B62" s="11" t="s">
        <v>159</v>
      </c>
      <c r="C62" s="8"/>
      <c r="D62" s="15"/>
      <c r="E62" s="6"/>
      <c r="F62" s="15">
        <v>937</v>
      </c>
      <c r="G62" s="15">
        <v>696</v>
      </c>
      <c r="H62" s="6">
        <f>IF(G62&gt;0,ROUND(G62*100/F62,1),)</f>
        <v>74.3</v>
      </c>
      <c r="I62" s="27"/>
    </row>
    <row r="63" spans="1:9" s="57" customFormat="1" ht="21" customHeight="1">
      <c r="A63" s="16"/>
      <c r="B63" s="9" t="s">
        <v>2</v>
      </c>
      <c r="C63" s="8"/>
      <c r="D63" s="15"/>
      <c r="E63" s="6"/>
      <c r="F63" s="15">
        <v>296</v>
      </c>
      <c r="G63" s="15">
        <v>296</v>
      </c>
      <c r="H63" s="6">
        <f>IF(G63&gt;0,ROUND(G63*100/F63,1),)</f>
        <v>100</v>
      </c>
      <c r="I63" s="27"/>
    </row>
    <row r="64" spans="1:9" s="57" customFormat="1" ht="49.5" customHeight="1">
      <c r="A64" s="16" t="s">
        <v>37</v>
      </c>
      <c r="B64" s="17" t="s">
        <v>106</v>
      </c>
      <c r="C64" s="16" t="s">
        <v>43</v>
      </c>
      <c r="D64" s="23"/>
      <c r="E64" s="56"/>
      <c r="F64" s="23">
        <f>F66+F67</f>
        <v>2895</v>
      </c>
      <c r="G64" s="23">
        <f>SUM(G66:G67)</f>
        <v>2805</v>
      </c>
      <c r="H64" s="56">
        <f>IF(G64&gt;0,ROUND(G64*100/F64,1),)</f>
        <v>96.9</v>
      </c>
      <c r="I64" s="36" t="s">
        <v>85</v>
      </c>
    </row>
    <row r="65" spans="1:9" s="57" customFormat="1" ht="21" customHeight="1">
      <c r="A65" s="16"/>
      <c r="B65" s="11" t="s">
        <v>4</v>
      </c>
      <c r="C65" s="8"/>
      <c r="D65" s="15"/>
      <c r="E65" s="6"/>
      <c r="F65" s="15"/>
      <c r="G65" s="15"/>
      <c r="H65" s="6"/>
      <c r="I65" s="27"/>
    </row>
    <row r="66" spans="1:9" s="57" customFormat="1" ht="21" customHeight="1">
      <c r="A66" s="16"/>
      <c r="B66" s="11" t="s">
        <v>159</v>
      </c>
      <c r="C66" s="8"/>
      <c r="D66" s="15"/>
      <c r="E66" s="6"/>
      <c r="F66" s="15">
        <v>2059</v>
      </c>
      <c r="G66" s="15">
        <v>1969</v>
      </c>
      <c r="H66" s="6">
        <f>IF(G66&gt;0,ROUND(G66*100/F66,1),)</f>
        <v>95.6</v>
      </c>
      <c r="I66" s="27"/>
    </row>
    <row r="67" spans="1:9" s="57" customFormat="1" ht="21" customHeight="1">
      <c r="A67" s="16"/>
      <c r="B67" s="9" t="s">
        <v>2</v>
      </c>
      <c r="C67" s="8"/>
      <c r="D67" s="15"/>
      <c r="E67" s="6"/>
      <c r="F67" s="15">
        <v>836</v>
      </c>
      <c r="G67" s="15">
        <v>836</v>
      </c>
      <c r="H67" s="6">
        <f>IF(G67&gt;0,ROUND(G67*100/F67,1),)</f>
        <v>100</v>
      </c>
      <c r="I67" s="27"/>
    </row>
    <row r="68" spans="1:9" s="57" customFormat="1" ht="53.25" customHeight="1">
      <c r="A68" s="16" t="s">
        <v>35</v>
      </c>
      <c r="B68" s="17" t="s">
        <v>161</v>
      </c>
      <c r="C68" s="16" t="s">
        <v>43</v>
      </c>
      <c r="D68" s="23"/>
      <c r="E68" s="56"/>
      <c r="F68" s="23">
        <f>F70+F71</f>
        <v>3604</v>
      </c>
      <c r="G68" s="23">
        <f>SUM(G70:G71)</f>
        <v>2964</v>
      </c>
      <c r="H68" s="56">
        <f>IF(G68&gt;0,ROUND(G68*100/F68,1),)</f>
        <v>82.2</v>
      </c>
      <c r="I68" s="36" t="s">
        <v>85</v>
      </c>
    </row>
    <row r="69" spans="1:9" s="57" customFormat="1" ht="21" customHeight="1">
      <c r="A69" s="16"/>
      <c r="B69" s="11" t="s">
        <v>4</v>
      </c>
      <c r="C69" s="8"/>
      <c r="D69" s="15"/>
      <c r="E69" s="6"/>
      <c r="F69" s="15"/>
      <c r="G69" s="15"/>
      <c r="H69" s="6"/>
      <c r="I69" s="27"/>
    </row>
    <row r="70" spans="1:9" s="57" customFormat="1" ht="21" customHeight="1">
      <c r="A70" s="16"/>
      <c r="B70" s="11" t="s">
        <v>159</v>
      </c>
      <c r="C70" s="8"/>
      <c r="D70" s="15"/>
      <c r="E70" s="6"/>
      <c r="F70" s="15">
        <v>2617</v>
      </c>
      <c r="G70" s="15">
        <v>2081</v>
      </c>
      <c r="H70" s="6">
        <f>IF(G70&gt;0,ROUND(G70*100/F70,1),)</f>
        <v>79.5</v>
      </c>
      <c r="I70" s="27"/>
    </row>
    <row r="71" spans="1:9" s="57" customFormat="1" ht="21" customHeight="1">
      <c r="A71" s="16"/>
      <c r="B71" s="9" t="s">
        <v>2</v>
      </c>
      <c r="C71" s="8"/>
      <c r="D71" s="15"/>
      <c r="E71" s="6"/>
      <c r="F71" s="15">
        <v>987</v>
      </c>
      <c r="G71" s="15">
        <v>883</v>
      </c>
      <c r="H71" s="6">
        <f>IF(G71&gt;0,ROUND(G71*100/F71,1),)</f>
        <v>89.5</v>
      </c>
      <c r="I71" s="27"/>
    </row>
    <row r="72" spans="1:9" s="57" customFormat="1" ht="52.5" customHeight="1">
      <c r="A72" s="16" t="s">
        <v>30</v>
      </c>
      <c r="B72" s="17" t="s">
        <v>87</v>
      </c>
      <c r="C72" s="16" t="s">
        <v>43</v>
      </c>
      <c r="D72" s="15"/>
      <c r="E72" s="6"/>
      <c r="F72" s="23">
        <f>F74+F75</f>
        <v>12500</v>
      </c>
      <c r="G72" s="23">
        <f>G74+G75</f>
        <v>12036</v>
      </c>
      <c r="H72" s="56">
        <f>IF(G72&gt;0,ROUND(G72*100/F72,1),)</f>
        <v>96.3</v>
      </c>
      <c r="I72" s="36" t="s">
        <v>85</v>
      </c>
    </row>
    <row r="73" spans="1:9" s="57" customFormat="1" ht="23.25" customHeight="1">
      <c r="A73" s="16"/>
      <c r="B73" s="11" t="s">
        <v>4</v>
      </c>
      <c r="C73" s="8"/>
      <c r="D73" s="15"/>
      <c r="E73" s="6"/>
      <c r="F73" s="15"/>
      <c r="G73" s="15"/>
      <c r="H73" s="6"/>
      <c r="I73" s="27"/>
    </row>
    <row r="74" spans="1:9" s="57" customFormat="1" ht="23.25" customHeight="1">
      <c r="A74" s="16"/>
      <c r="B74" s="11" t="s">
        <v>159</v>
      </c>
      <c r="C74" s="8"/>
      <c r="D74" s="15"/>
      <c r="E74" s="6"/>
      <c r="F74" s="15">
        <v>8912</v>
      </c>
      <c r="G74" s="15">
        <v>8449</v>
      </c>
      <c r="H74" s="6">
        <f>IF(G74&gt;0,ROUND(G74*100/F74,1),)</f>
        <v>94.8</v>
      </c>
      <c r="I74" s="27"/>
    </row>
    <row r="75" spans="1:9" s="57" customFormat="1" ht="23.25" customHeight="1">
      <c r="A75" s="16"/>
      <c r="B75" s="9" t="s">
        <v>2</v>
      </c>
      <c r="C75" s="8"/>
      <c r="D75" s="15"/>
      <c r="E75" s="6"/>
      <c r="F75" s="15">
        <v>3588</v>
      </c>
      <c r="G75" s="15">
        <v>3587</v>
      </c>
      <c r="H75" s="6">
        <f>IF(G75&gt;0,ROUND(G75*100/F75,1),)</f>
        <v>100</v>
      </c>
      <c r="I75" s="27"/>
    </row>
    <row r="76" spans="1:9" s="57" customFormat="1" ht="36" customHeight="1">
      <c r="A76" s="53"/>
      <c r="B76" s="17" t="s">
        <v>46</v>
      </c>
      <c r="C76" s="16" t="s">
        <v>43</v>
      </c>
      <c r="D76" s="53"/>
      <c r="E76" s="53"/>
      <c r="F76" s="23">
        <f>F80+F77</f>
        <v>23766</v>
      </c>
      <c r="G76" s="23">
        <f>G80+G77</f>
        <v>19931</v>
      </c>
      <c r="H76" s="56">
        <f>IF(G76&gt;0,ROUND(G76*100/F76,1),)</f>
        <v>83.9</v>
      </c>
      <c r="I76" s="27"/>
    </row>
    <row r="77" spans="1:9" s="57" customFormat="1" ht="49.5">
      <c r="A77" s="16" t="s">
        <v>29</v>
      </c>
      <c r="B77" s="17" t="s">
        <v>89</v>
      </c>
      <c r="C77" s="8" t="s">
        <v>43</v>
      </c>
      <c r="D77" s="23"/>
      <c r="E77" s="56"/>
      <c r="F77" s="15">
        <v>3800</v>
      </c>
      <c r="G77" s="15"/>
      <c r="H77" s="6">
        <f>IF(G77&gt;0,ROUND(G77*100/F77,1),)</f>
        <v>0</v>
      </c>
      <c r="I77" s="36" t="s">
        <v>49</v>
      </c>
    </row>
    <row r="78" spans="1:9" s="57" customFormat="1" ht="16.5">
      <c r="A78" s="16"/>
      <c r="B78" s="11" t="s">
        <v>4</v>
      </c>
      <c r="C78" s="8"/>
      <c r="D78" s="23"/>
      <c r="E78" s="56"/>
      <c r="F78" s="15"/>
      <c r="G78" s="15"/>
      <c r="H78" s="6"/>
      <c r="I78" s="27"/>
    </row>
    <row r="79" spans="1:9" s="57" customFormat="1" ht="16.5">
      <c r="A79" s="16"/>
      <c r="B79" s="9" t="s">
        <v>2</v>
      </c>
      <c r="C79" s="8"/>
      <c r="D79" s="23"/>
      <c r="E79" s="56"/>
      <c r="F79" s="15">
        <v>3800</v>
      </c>
      <c r="G79" s="15"/>
      <c r="H79" s="6"/>
      <c r="I79" s="27"/>
    </row>
    <row r="80" spans="1:9" s="57" customFormat="1" ht="39.75" customHeight="1">
      <c r="A80" s="16" t="s">
        <v>24</v>
      </c>
      <c r="B80" s="17" t="s">
        <v>44</v>
      </c>
      <c r="C80" s="8" t="s">
        <v>43</v>
      </c>
      <c r="D80" s="23"/>
      <c r="E80" s="56"/>
      <c r="F80" s="15">
        <f>20191-225</f>
        <v>19966</v>
      </c>
      <c r="G80" s="15">
        <v>19931</v>
      </c>
      <c r="H80" s="6">
        <f>IF(G80&gt;0,ROUND(G80*100/F80,1),)</f>
        <v>99.8</v>
      </c>
      <c r="I80" s="36" t="s">
        <v>49</v>
      </c>
    </row>
    <row r="81" spans="1:9" s="57" customFormat="1" ht="16.5">
      <c r="A81" s="16"/>
      <c r="B81" s="11" t="s">
        <v>4</v>
      </c>
      <c r="C81" s="8"/>
      <c r="D81" s="23"/>
      <c r="E81" s="56"/>
      <c r="F81" s="15"/>
      <c r="G81" s="15"/>
      <c r="H81" s="6"/>
      <c r="I81" s="27"/>
    </row>
    <row r="82" spans="1:9" s="57" customFormat="1" ht="16.5">
      <c r="A82" s="16"/>
      <c r="B82" s="9" t="s">
        <v>2</v>
      </c>
      <c r="C82" s="8"/>
      <c r="D82" s="23"/>
      <c r="E82" s="56"/>
      <c r="F82" s="15">
        <f>20191-225</f>
        <v>19966</v>
      </c>
      <c r="G82" s="15">
        <v>19931</v>
      </c>
      <c r="H82" s="6">
        <f>IF(G82&gt;0,ROUND(G82*100/F82,1),)</f>
        <v>99.8</v>
      </c>
      <c r="I82" s="27"/>
    </row>
    <row r="83" spans="1:9" s="57" customFormat="1" ht="24.75" customHeight="1">
      <c r="A83" s="16" t="s">
        <v>124</v>
      </c>
      <c r="B83" s="22" t="s">
        <v>9</v>
      </c>
      <c r="C83" s="21" t="s">
        <v>5</v>
      </c>
      <c r="D83" s="23" t="e">
        <f>#REF!+#REF!</f>
        <v>#REF!</v>
      </c>
      <c r="E83" s="56" t="e">
        <f>#REF!-D83</f>
        <v>#REF!</v>
      </c>
      <c r="F83" s="23">
        <f>F85</f>
        <v>2495481.6</v>
      </c>
      <c r="G83" s="23">
        <f>G85</f>
        <v>2491664</v>
      </c>
      <c r="H83" s="56">
        <f aca="true" t="shared" si="1" ref="H83:H96">IF(G83&gt;0,ROUND(G83*100/F83,1),)</f>
        <v>99.8</v>
      </c>
      <c r="I83" s="27"/>
    </row>
    <row r="84" spans="1:9" s="57" customFormat="1" ht="24.75" customHeight="1">
      <c r="A84" s="16"/>
      <c r="B84" s="22" t="s">
        <v>125</v>
      </c>
      <c r="C84" s="21" t="s">
        <v>7</v>
      </c>
      <c r="D84" s="23"/>
      <c r="E84" s="56"/>
      <c r="F84" s="23">
        <f>F85</f>
        <v>2495481.6</v>
      </c>
      <c r="G84" s="23">
        <f>G85</f>
        <v>2491664</v>
      </c>
      <c r="H84" s="56">
        <f t="shared" si="1"/>
        <v>99.8</v>
      </c>
      <c r="I84" s="27"/>
    </row>
    <row r="85" spans="1:9" s="57" customFormat="1" ht="46.5" customHeight="1">
      <c r="A85" s="16"/>
      <c r="B85" s="17" t="s">
        <v>8</v>
      </c>
      <c r="C85" s="16" t="s">
        <v>7</v>
      </c>
      <c r="D85" s="23"/>
      <c r="E85" s="56"/>
      <c r="F85" s="23">
        <f>F86+F131</f>
        <v>2495481.6</v>
      </c>
      <c r="G85" s="23">
        <f>G86+G131</f>
        <v>2491664</v>
      </c>
      <c r="H85" s="56">
        <f t="shared" si="1"/>
        <v>99.8</v>
      </c>
      <c r="I85" s="27"/>
    </row>
    <row r="86" spans="1:9" s="57" customFormat="1" ht="26.25" customHeight="1">
      <c r="A86" s="16"/>
      <c r="B86" s="17" t="s">
        <v>6</v>
      </c>
      <c r="C86" s="16" t="s">
        <v>7</v>
      </c>
      <c r="D86" s="23"/>
      <c r="E86" s="56"/>
      <c r="F86" s="23">
        <f>F87+F92+F98+F103+F108+F114+F119+F123+F127</f>
        <v>733536.6</v>
      </c>
      <c r="G86" s="23">
        <f>G87+G92+G98+G103+G108+G114+G119+G123+G127</f>
        <v>733312</v>
      </c>
      <c r="H86" s="56">
        <f t="shared" si="1"/>
        <v>100</v>
      </c>
      <c r="I86" s="27"/>
    </row>
    <row r="87" spans="1:9" s="57" customFormat="1" ht="73.5" customHeight="1">
      <c r="A87" s="16" t="s">
        <v>22</v>
      </c>
      <c r="B87" s="47" t="s">
        <v>101</v>
      </c>
      <c r="C87" s="16" t="s">
        <v>7</v>
      </c>
      <c r="D87" s="23"/>
      <c r="E87" s="56"/>
      <c r="F87" s="23">
        <f>F89+F90+F91</f>
        <v>101758</v>
      </c>
      <c r="G87" s="23">
        <f>G89+G90+G91</f>
        <v>101535</v>
      </c>
      <c r="H87" s="56">
        <f t="shared" si="1"/>
        <v>99.8</v>
      </c>
      <c r="I87" s="36" t="s">
        <v>10</v>
      </c>
    </row>
    <row r="88" spans="1:9" s="57" customFormat="1" ht="17.25" customHeight="1">
      <c r="A88" s="16"/>
      <c r="B88" s="11" t="s">
        <v>4</v>
      </c>
      <c r="C88" s="8"/>
      <c r="D88" s="15"/>
      <c r="E88" s="6"/>
      <c r="F88" s="15"/>
      <c r="G88" s="15"/>
      <c r="H88" s="6">
        <f t="shared" si="1"/>
        <v>0</v>
      </c>
      <c r="I88" s="27"/>
    </row>
    <row r="89" spans="1:9" s="57" customFormat="1" ht="17.25" customHeight="1">
      <c r="A89" s="16"/>
      <c r="B89" s="24" t="s">
        <v>13</v>
      </c>
      <c r="C89" s="8"/>
      <c r="D89" s="15"/>
      <c r="E89" s="6"/>
      <c r="F89" s="15"/>
      <c r="G89" s="15"/>
      <c r="H89" s="6">
        <f t="shared" si="1"/>
        <v>0</v>
      </c>
      <c r="I89" s="27"/>
    </row>
    <row r="90" spans="1:9" s="57" customFormat="1" ht="17.25" customHeight="1">
      <c r="A90" s="16"/>
      <c r="B90" s="11" t="s">
        <v>159</v>
      </c>
      <c r="C90" s="8"/>
      <c r="D90" s="15"/>
      <c r="E90" s="6"/>
      <c r="F90" s="15">
        <v>71434</v>
      </c>
      <c r="G90" s="15">
        <v>71277</v>
      </c>
      <c r="H90" s="6">
        <f t="shared" si="1"/>
        <v>99.8</v>
      </c>
      <c r="I90" s="27"/>
    </row>
    <row r="91" spans="1:9" s="57" customFormat="1" ht="17.25" customHeight="1">
      <c r="A91" s="16"/>
      <c r="B91" s="9" t="s">
        <v>2</v>
      </c>
      <c r="C91" s="8"/>
      <c r="D91" s="15"/>
      <c r="E91" s="6"/>
      <c r="F91" s="15">
        <v>30324</v>
      </c>
      <c r="G91" s="15">
        <v>30258</v>
      </c>
      <c r="H91" s="6">
        <f t="shared" si="1"/>
        <v>99.8</v>
      </c>
      <c r="I91" s="27"/>
    </row>
    <row r="92" spans="1:9" s="57" customFormat="1" ht="68.25" customHeight="1">
      <c r="A92" s="16" t="s">
        <v>97</v>
      </c>
      <c r="B92" s="47" t="s">
        <v>112</v>
      </c>
      <c r="C92" s="16" t="s">
        <v>7</v>
      </c>
      <c r="D92" s="23"/>
      <c r="E92" s="56"/>
      <c r="F92" s="23">
        <f>F94+F95+F96</f>
        <v>68354</v>
      </c>
      <c r="G92" s="23">
        <f>G94+G95+G96</f>
        <v>68353</v>
      </c>
      <c r="H92" s="56">
        <f t="shared" si="1"/>
        <v>100</v>
      </c>
      <c r="I92" s="36" t="s">
        <v>10</v>
      </c>
    </row>
    <row r="93" spans="1:9" s="57" customFormat="1" ht="17.25" customHeight="1">
      <c r="A93" s="8"/>
      <c r="B93" s="11" t="s">
        <v>4</v>
      </c>
      <c r="C93" s="8"/>
      <c r="D93" s="15"/>
      <c r="E93" s="6"/>
      <c r="F93" s="15"/>
      <c r="G93" s="15"/>
      <c r="H93" s="6">
        <f t="shared" si="1"/>
        <v>0</v>
      </c>
      <c r="I93" s="27"/>
    </row>
    <row r="94" spans="1:9" s="57" customFormat="1" ht="17.25" customHeight="1">
      <c r="A94" s="8"/>
      <c r="B94" s="24" t="s">
        <v>13</v>
      </c>
      <c r="C94" s="8"/>
      <c r="D94" s="15"/>
      <c r="E94" s="6"/>
      <c r="F94" s="15"/>
      <c r="G94" s="15"/>
      <c r="H94" s="6">
        <f t="shared" si="1"/>
        <v>0</v>
      </c>
      <c r="I94" s="27"/>
    </row>
    <row r="95" spans="1:9" s="57" customFormat="1" ht="17.25" customHeight="1">
      <c r="A95" s="8"/>
      <c r="B95" s="11" t="s">
        <v>159</v>
      </c>
      <c r="C95" s="8"/>
      <c r="D95" s="15"/>
      <c r="E95" s="6"/>
      <c r="F95" s="15">
        <v>47984</v>
      </c>
      <c r="G95" s="15">
        <v>47984</v>
      </c>
      <c r="H95" s="6">
        <f t="shared" si="1"/>
        <v>100</v>
      </c>
      <c r="I95" s="27"/>
    </row>
    <row r="96" spans="1:9" s="57" customFormat="1" ht="17.25" customHeight="1">
      <c r="A96" s="8"/>
      <c r="B96" s="9" t="s">
        <v>2</v>
      </c>
      <c r="C96" s="8"/>
      <c r="D96" s="15"/>
      <c r="E96" s="6"/>
      <c r="F96" s="15">
        <v>20370</v>
      </c>
      <c r="G96" s="15">
        <v>20369</v>
      </c>
      <c r="H96" s="6">
        <f t="shared" si="1"/>
        <v>100</v>
      </c>
      <c r="I96" s="27"/>
    </row>
    <row r="97" spans="1:9" s="57" customFormat="1" ht="17.25" customHeight="1" hidden="1">
      <c r="A97" s="8"/>
      <c r="B97" s="7"/>
      <c r="C97" s="8"/>
      <c r="D97" s="23"/>
      <c r="E97" s="56"/>
      <c r="F97" s="15"/>
      <c r="G97" s="15"/>
      <c r="H97" s="6"/>
      <c r="I97" s="27"/>
    </row>
    <row r="98" spans="1:9" s="57" customFormat="1" ht="60.75" customHeight="1">
      <c r="A98" s="16" t="s">
        <v>21</v>
      </c>
      <c r="B98" s="47" t="s">
        <v>113</v>
      </c>
      <c r="C98" s="16" t="s">
        <v>7</v>
      </c>
      <c r="D98" s="23"/>
      <c r="E98" s="56"/>
      <c r="F98" s="23">
        <f>F100+F101+F102</f>
        <v>99883</v>
      </c>
      <c r="G98" s="23">
        <f>G100+G101+G102</f>
        <v>99883</v>
      </c>
      <c r="H98" s="56">
        <f>IF(G98&gt;0,ROUND(G98*100/F98,1),)</f>
        <v>100</v>
      </c>
      <c r="I98" s="36" t="s">
        <v>10</v>
      </c>
    </row>
    <row r="99" spans="1:9" s="57" customFormat="1" ht="17.25" customHeight="1">
      <c r="A99" s="16"/>
      <c r="B99" s="11" t="s">
        <v>4</v>
      </c>
      <c r="C99" s="8"/>
      <c r="D99" s="15"/>
      <c r="E99" s="6"/>
      <c r="F99" s="15"/>
      <c r="G99" s="15"/>
      <c r="H99" s="6">
        <f>IF(G99&gt;0,ROUND(G99*100/F99,1),)</f>
        <v>0</v>
      </c>
      <c r="I99" s="27"/>
    </row>
    <row r="100" spans="1:9" s="57" customFormat="1" ht="17.25" customHeight="1">
      <c r="A100" s="16"/>
      <c r="B100" s="24" t="s">
        <v>13</v>
      </c>
      <c r="C100" s="8"/>
      <c r="D100" s="15"/>
      <c r="E100" s="6"/>
      <c r="F100" s="15">
        <v>70597</v>
      </c>
      <c r="G100" s="15">
        <v>70597</v>
      </c>
      <c r="H100" s="6">
        <f>IF(G100&gt;0,ROUND(G100*100/F100,1),)</f>
        <v>100</v>
      </c>
      <c r="I100" s="27"/>
    </row>
    <row r="101" spans="1:9" s="57" customFormat="1" ht="17.25" customHeight="1">
      <c r="A101" s="46"/>
      <c r="B101" s="11" t="s">
        <v>159</v>
      </c>
      <c r="C101" s="8"/>
      <c r="D101" s="15"/>
      <c r="E101" s="6"/>
      <c r="F101" s="15">
        <f>3000+12458.3+5100.5+0.2</f>
        <v>20559</v>
      </c>
      <c r="G101" s="15">
        <f>12458.3+8100.5+0.2</f>
        <v>20559</v>
      </c>
      <c r="H101" s="6">
        <f>IF(G101&gt;0,ROUND(G101*100/F101,1),)</f>
        <v>100</v>
      </c>
      <c r="I101" s="27"/>
    </row>
    <row r="102" spans="1:9" s="57" customFormat="1" ht="17.25" customHeight="1">
      <c r="A102" s="46"/>
      <c r="B102" s="9" t="s">
        <v>2</v>
      </c>
      <c r="C102" s="8"/>
      <c r="D102" s="15"/>
      <c r="E102" s="6"/>
      <c r="F102" s="15">
        <v>8727</v>
      </c>
      <c r="G102" s="15">
        <f>3438.7+5288.6-0.3</f>
        <v>8727</v>
      </c>
      <c r="H102" s="6">
        <f>IF(G102&gt;0,ROUND(G102*100/F102,1),)</f>
        <v>100</v>
      </c>
      <c r="I102" s="27"/>
    </row>
    <row r="103" spans="1:9" s="57" customFormat="1" ht="49.5">
      <c r="A103" s="53" t="s">
        <v>126</v>
      </c>
      <c r="B103" s="47" t="s">
        <v>96</v>
      </c>
      <c r="C103" s="16" t="s">
        <v>7</v>
      </c>
      <c r="D103" s="23"/>
      <c r="E103" s="56"/>
      <c r="F103" s="23">
        <f>SUM(F104:F107)</f>
        <v>80104</v>
      </c>
      <c r="G103" s="23">
        <f>SUM(G104:G107)</f>
        <v>80103</v>
      </c>
      <c r="H103" s="56">
        <f aca="true" t="shared" si="2" ref="H103:H136">IF(G103&gt;0,ROUND(G103*100/F103,1),)</f>
        <v>100</v>
      </c>
      <c r="I103" s="36" t="s">
        <v>49</v>
      </c>
    </row>
    <row r="104" spans="1:9" s="57" customFormat="1" ht="18.75" hidden="1">
      <c r="A104" s="10"/>
      <c r="B104" s="11" t="s">
        <v>4</v>
      </c>
      <c r="C104" s="8"/>
      <c r="D104" s="15"/>
      <c r="E104" s="6"/>
      <c r="F104" s="15"/>
      <c r="G104" s="15"/>
      <c r="H104" s="6">
        <f t="shared" si="2"/>
        <v>0</v>
      </c>
      <c r="I104" s="27"/>
    </row>
    <row r="105" spans="1:9" s="57" customFormat="1" ht="18.75">
      <c r="A105" s="10"/>
      <c r="B105" s="24" t="s">
        <v>13</v>
      </c>
      <c r="C105" s="8"/>
      <c r="D105" s="15"/>
      <c r="E105" s="6"/>
      <c r="F105" s="15">
        <v>60597</v>
      </c>
      <c r="G105" s="15">
        <v>60597</v>
      </c>
      <c r="H105" s="6">
        <f t="shared" si="2"/>
        <v>100</v>
      </c>
      <c r="I105" s="27"/>
    </row>
    <row r="106" spans="1:9" s="57" customFormat="1" ht="18.75">
      <c r="A106" s="10"/>
      <c r="B106" s="11" t="s">
        <v>159</v>
      </c>
      <c r="C106" s="8"/>
      <c r="D106" s="15"/>
      <c r="E106" s="6"/>
      <c r="F106" s="15">
        <f>3000+10694</f>
        <v>13694</v>
      </c>
      <c r="G106" s="15">
        <f>10693+3000</f>
        <v>13693</v>
      </c>
      <c r="H106" s="6">
        <f t="shared" si="2"/>
        <v>100</v>
      </c>
      <c r="I106" s="27"/>
    </row>
    <row r="107" spans="1:9" s="57" customFormat="1" ht="18.75">
      <c r="A107" s="10"/>
      <c r="B107" s="9" t="s">
        <v>2</v>
      </c>
      <c r="C107" s="8"/>
      <c r="D107" s="15"/>
      <c r="E107" s="6"/>
      <c r="F107" s="15">
        <f>1273.5+4539.4+0.1</f>
        <v>5813</v>
      </c>
      <c r="G107" s="15">
        <v>5813</v>
      </c>
      <c r="H107" s="6">
        <f t="shared" si="2"/>
        <v>100</v>
      </c>
      <c r="I107" s="27"/>
    </row>
    <row r="108" spans="1:9" s="57" customFormat="1" ht="49.5">
      <c r="A108" s="53" t="s">
        <v>127</v>
      </c>
      <c r="B108" s="47" t="s">
        <v>95</v>
      </c>
      <c r="C108" s="16" t="s">
        <v>7</v>
      </c>
      <c r="D108" s="23"/>
      <c r="E108" s="56"/>
      <c r="F108" s="23">
        <f>SUM(F109:F112)</f>
        <v>80103</v>
      </c>
      <c r="G108" s="23">
        <f>SUM(G109:G112)</f>
        <v>80103</v>
      </c>
      <c r="H108" s="56">
        <f t="shared" si="2"/>
        <v>100</v>
      </c>
      <c r="I108" s="36" t="s">
        <v>49</v>
      </c>
    </row>
    <row r="109" spans="1:9" s="57" customFormat="1" ht="18.75" hidden="1">
      <c r="A109" s="10"/>
      <c r="B109" s="11" t="s">
        <v>4</v>
      </c>
      <c r="C109" s="8"/>
      <c r="D109" s="15"/>
      <c r="E109" s="6"/>
      <c r="F109" s="15"/>
      <c r="G109" s="15"/>
      <c r="H109" s="6">
        <f t="shared" si="2"/>
        <v>0</v>
      </c>
      <c r="I109" s="27"/>
    </row>
    <row r="110" spans="1:9" s="57" customFormat="1" ht="18.75">
      <c r="A110" s="10"/>
      <c r="B110" s="24" t="s">
        <v>13</v>
      </c>
      <c r="C110" s="8"/>
      <c r="D110" s="15"/>
      <c r="E110" s="6"/>
      <c r="F110" s="15">
        <v>60597</v>
      </c>
      <c r="G110" s="15">
        <v>60597</v>
      </c>
      <c r="H110" s="6">
        <f t="shared" si="2"/>
        <v>100</v>
      </c>
      <c r="I110" s="27"/>
    </row>
    <row r="111" spans="1:9" s="57" customFormat="1" ht="18.75">
      <c r="A111" s="10"/>
      <c r="B111" s="11" t="s">
        <v>159</v>
      </c>
      <c r="C111" s="8"/>
      <c r="D111" s="15"/>
      <c r="E111" s="6"/>
      <c r="F111" s="15">
        <f>3000+10693.6-0.6</f>
        <v>13693</v>
      </c>
      <c r="G111" s="15">
        <v>13693</v>
      </c>
      <c r="H111" s="6">
        <f t="shared" si="2"/>
        <v>100</v>
      </c>
      <c r="I111" s="27"/>
    </row>
    <row r="112" spans="1:9" s="57" customFormat="1" ht="18.75">
      <c r="A112" s="10"/>
      <c r="B112" s="9" t="s">
        <v>2</v>
      </c>
      <c r="C112" s="8"/>
      <c r="D112" s="15"/>
      <c r="E112" s="6"/>
      <c r="F112" s="15">
        <f>1273.5+4539.4+0.1</f>
        <v>5813</v>
      </c>
      <c r="G112" s="15">
        <v>5813</v>
      </c>
      <c r="H112" s="6">
        <f t="shared" si="2"/>
        <v>100</v>
      </c>
      <c r="I112" s="27"/>
    </row>
    <row r="113" spans="1:9" s="57" customFormat="1" ht="18.75" hidden="1">
      <c r="A113" s="10"/>
      <c r="B113" s="35"/>
      <c r="C113" s="8"/>
      <c r="D113" s="15"/>
      <c r="E113" s="6"/>
      <c r="F113" s="6"/>
      <c r="G113" s="6"/>
      <c r="H113" s="6">
        <f t="shared" si="2"/>
        <v>0</v>
      </c>
      <c r="I113" s="27"/>
    </row>
    <row r="114" spans="1:9" s="57" customFormat="1" ht="33" customHeight="1">
      <c r="A114" s="53" t="s">
        <v>128</v>
      </c>
      <c r="B114" s="47" t="s">
        <v>94</v>
      </c>
      <c r="C114" s="16" t="s">
        <v>7</v>
      </c>
      <c r="D114" s="23"/>
      <c r="E114" s="56"/>
      <c r="F114" s="23">
        <f>SUM(F115:F118)</f>
        <v>80103</v>
      </c>
      <c r="G114" s="23">
        <f>SUM(G115:G118)</f>
        <v>80104</v>
      </c>
      <c r="H114" s="56">
        <f t="shared" si="2"/>
        <v>100</v>
      </c>
      <c r="I114" s="36" t="s">
        <v>49</v>
      </c>
    </row>
    <row r="115" spans="1:9" s="57" customFormat="1" ht="18" customHeight="1">
      <c r="A115" s="10"/>
      <c r="B115" s="11" t="s">
        <v>4</v>
      </c>
      <c r="C115" s="8"/>
      <c r="D115" s="15"/>
      <c r="E115" s="6"/>
      <c r="F115" s="15"/>
      <c r="G115" s="15"/>
      <c r="H115" s="6">
        <f t="shared" si="2"/>
        <v>0</v>
      </c>
      <c r="I115" s="27"/>
    </row>
    <row r="116" spans="1:9" s="57" customFormat="1" ht="17.25" customHeight="1">
      <c r="A116" s="10"/>
      <c r="B116" s="24" t="s">
        <v>13</v>
      </c>
      <c r="C116" s="8"/>
      <c r="D116" s="23"/>
      <c r="E116" s="56"/>
      <c r="F116" s="15">
        <v>60597</v>
      </c>
      <c r="G116" s="15">
        <v>60597</v>
      </c>
      <c r="H116" s="6">
        <f t="shared" si="2"/>
        <v>100</v>
      </c>
      <c r="I116" s="27"/>
    </row>
    <row r="117" spans="1:9" s="57" customFormat="1" ht="17.25" customHeight="1">
      <c r="A117" s="10"/>
      <c r="B117" s="11" t="s">
        <v>159</v>
      </c>
      <c r="C117" s="8"/>
      <c r="D117" s="23"/>
      <c r="E117" s="56"/>
      <c r="F117" s="15">
        <f>3000+10693.6-0.6</f>
        <v>13693</v>
      </c>
      <c r="G117" s="15">
        <v>13694</v>
      </c>
      <c r="H117" s="6">
        <f t="shared" si="2"/>
        <v>100</v>
      </c>
      <c r="I117" s="27"/>
    </row>
    <row r="118" spans="1:9" s="57" customFormat="1" ht="17.25" customHeight="1">
      <c r="A118" s="10"/>
      <c r="B118" s="9" t="s">
        <v>2</v>
      </c>
      <c r="C118" s="8"/>
      <c r="D118" s="23"/>
      <c r="E118" s="56"/>
      <c r="F118" s="15">
        <f>1273.5+4539.4+0.1</f>
        <v>5813</v>
      </c>
      <c r="G118" s="15">
        <v>5813</v>
      </c>
      <c r="H118" s="6">
        <f t="shared" si="2"/>
        <v>100</v>
      </c>
      <c r="I118" s="27"/>
    </row>
    <row r="119" spans="1:9" s="57" customFormat="1" ht="50.25" customHeight="1">
      <c r="A119" s="53" t="s">
        <v>78</v>
      </c>
      <c r="B119" s="47" t="s">
        <v>93</v>
      </c>
      <c r="C119" s="16" t="s">
        <v>7</v>
      </c>
      <c r="D119" s="23"/>
      <c r="E119" s="56"/>
      <c r="F119" s="23">
        <f>SUM(F120:F122)</f>
        <v>68468.6</v>
      </c>
      <c r="G119" s="23">
        <f>SUM(G120:G122)</f>
        <v>68469</v>
      </c>
      <c r="H119" s="56">
        <f t="shared" si="2"/>
        <v>100</v>
      </c>
      <c r="I119" s="36" t="s">
        <v>49</v>
      </c>
    </row>
    <row r="120" spans="1:9" s="57" customFormat="1" ht="34.5" customHeight="1">
      <c r="A120" s="10"/>
      <c r="B120" s="24" t="s">
        <v>13</v>
      </c>
      <c r="C120" s="8"/>
      <c r="D120" s="23"/>
      <c r="E120" s="56"/>
      <c r="F120" s="15">
        <v>50853</v>
      </c>
      <c r="G120" s="15">
        <v>50853</v>
      </c>
      <c r="H120" s="6">
        <f t="shared" si="2"/>
        <v>100</v>
      </c>
      <c r="I120" s="27"/>
    </row>
    <row r="121" spans="1:9" s="57" customFormat="1" ht="18.75">
      <c r="A121" s="10"/>
      <c r="B121" s="11" t="s">
        <v>159</v>
      </c>
      <c r="C121" s="8"/>
      <c r="D121" s="15"/>
      <c r="E121" s="6"/>
      <c r="F121" s="15">
        <f>3000+8974.3+391.4+0.3</f>
        <v>12365.999999999998</v>
      </c>
      <c r="G121" s="15">
        <v>12366</v>
      </c>
      <c r="H121" s="6">
        <f t="shared" si="2"/>
        <v>100</v>
      </c>
      <c r="I121" s="27"/>
    </row>
    <row r="122" spans="1:9" s="57" customFormat="1" ht="17.25" customHeight="1">
      <c r="A122" s="10"/>
      <c r="B122" s="9" t="s">
        <v>2</v>
      </c>
      <c r="C122" s="14"/>
      <c r="D122" s="13"/>
      <c r="E122" s="12"/>
      <c r="F122" s="15">
        <f>1273.5+3809.6+0.1+166.2-0.4+0.6</f>
        <v>5249.600000000001</v>
      </c>
      <c r="G122" s="64">
        <v>5250</v>
      </c>
      <c r="H122" s="6">
        <f t="shared" si="2"/>
        <v>100</v>
      </c>
      <c r="I122" s="27"/>
    </row>
    <row r="123" spans="1:9" s="57" customFormat="1" ht="34.5" customHeight="1">
      <c r="A123" s="53" t="s">
        <v>76</v>
      </c>
      <c r="B123" s="47" t="s">
        <v>92</v>
      </c>
      <c r="C123" s="16" t="s">
        <v>7</v>
      </c>
      <c r="D123" s="23"/>
      <c r="E123" s="56"/>
      <c r="F123" s="23">
        <f>SUM(F124:F126)</f>
        <v>74608</v>
      </c>
      <c r="G123" s="23">
        <f>SUM(G124:G126)</f>
        <v>74608</v>
      </c>
      <c r="H123" s="56">
        <f t="shared" si="2"/>
        <v>100</v>
      </c>
      <c r="I123" s="36" t="s">
        <v>49</v>
      </c>
    </row>
    <row r="124" spans="1:9" s="57" customFormat="1" ht="17.25" customHeight="1">
      <c r="A124" s="10"/>
      <c r="B124" s="24" t="s">
        <v>13</v>
      </c>
      <c r="C124" s="8"/>
      <c r="D124" s="15"/>
      <c r="E124" s="6"/>
      <c r="F124" s="15">
        <v>55853</v>
      </c>
      <c r="G124" s="15">
        <v>55853</v>
      </c>
      <c r="H124" s="6">
        <f t="shared" si="2"/>
        <v>100</v>
      </c>
      <c r="I124" s="27"/>
    </row>
    <row r="125" spans="1:9" s="57" customFormat="1" ht="19.5" customHeight="1">
      <c r="A125" s="10"/>
      <c r="B125" s="11" t="s">
        <v>159</v>
      </c>
      <c r="C125" s="8"/>
      <c r="D125" s="15"/>
      <c r="E125" s="6"/>
      <c r="F125" s="15">
        <f>3000+9856.5+309.2+0.3</f>
        <v>13166</v>
      </c>
      <c r="G125" s="15">
        <v>13166</v>
      </c>
      <c r="H125" s="6">
        <f t="shared" si="2"/>
        <v>100</v>
      </c>
      <c r="I125" s="27"/>
    </row>
    <row r="126" spans="1:9" s="57" customFormat="1" ht="28.5" customHeight="1">
      <c r="A126" s="10"/>
      <c r="B126" s="9" t="s">
        <v>2</v>
      </c>
      <c r="C126" s="8"/>
      <c r="D126" s="15"/>
      <c r="E126" s="6"/>
      <c r="F126" s="15">
        <f>1273.5+4184.1+0.1+131.3</f>
        <v>5589.000000000001</v>
      </c>
      <c r="G126" s="15">
        <v>5589</v>
      </c>
      <c r="H126" s="6">
        <f t="shared" si="2"/>
        <v>100</v>
      </c>
      <c r="I126" s="27"/>
    </row>
    <row r="127" spans="1:9" s="57" customFormat="1" ht="49.5">
      <c r="A127" s="53" t="s">
        <v>77</v>
      </c>
      <c r="B127" s="47" t="s">
        <v>91</v>
      </c>
      <c r="C127" s="16" t="s">
        <v>7</v>
      </c>
      <c r="D127" s="23"/>
      <c r="E127" s="56"/>
      <c r="F127" s="23">
        <f>SUM(F128:F130)</f>
        <v>80155</v>
      </c>
      <c r="G127" s="23">
        <f>SUM(G128:G130)</f>
        <v>80154</v>
      </c>
      <c r="H127" s="56">
        <f t="shared" si="2"/>
        <v>100</v>
      </c>
      <c r="I127" s="36" t="s">
        <v>49</v>
      </c>
    </row>
    <row r="128" spans="1:9" s="57" customFormat="1" ht="18.75">
      <c r="A128" s="10"/>
      <c r="B128" s="24" t="s">
        <v>13</v>
      </c>
      <c r="C128" s="8"/>
      <c r="D128" s="15"/>
      <c r="E128" s="6"/>
      <c r="F128" s="15">
        <v>60597</v>
      </c>
      <c r="G128" s="15">
        <v>60597</v>
      </c>
      <c r="H128" s="6">
        <f t="shared" si="2"/>
        <v>100</v>
      </c>
      <c r="I128" s="27"/>
    </row>
    <row r="129" spans="1:9" s="57" customFormat="1" ht="24" customHeight="1">
      <c r="A129" s="10"/>
      <c r="B129" s="11" t="s">
        <v>159</v>
      </c>
      <c r="C129" s="14"/>
      <c r="D129" s="13"/>
      <c r="E129" s="12"/>
      <c r="F129" s="15">
        <f>3000+10693.5+35.7-0.2</f>
        <v>13729</v>
      </c>
      <c r="G129" s="15">
        <f>10693.5+3035.7-0.2</f>
        <v>13729</v>
      </c>
      <c r="H129" s="6">
        <f t="shared" si="2"/>
        <v>100</v>
      </c>
      <c r="I129" s="27"/>
    </row>
    <row r="130" spans="1:9" s="57" customFormat="1" ht="24" customHeight="1">
      <c r="A130" s="10"/>
      <c r="B130" s="9" t="s">
        <v>2</v>
      </c>
      <c r="C130" s="14"/>
      <c r="D130" s="13"/>
      <c r="E130" s="12"/>
      <c r="F130" s="15">
        <f>1273.5+4539.4+0.1+15.2+0.4+0.4</f>
        <v>5828.999999999999</v>
      </c>
      <c r="G130" s="15">
        <v>5828</v>
      </c>
      <c r="H130" s="6">
        <f t="shared" si="2"/>
        <v>100</v>
      </c>
      <c r="I130" s="27"/>
    </row>
    <row r="131" spans="1:9" s="57" customFormat="1" ht="30.75" customHeight="1">
      <c r="A131" s="10"/>
      <c r="B131" s="17" t="s">
        <v>12</v>
      </c>
      <c r="C131" s="16" t="s">
        <v>7</v>
      </c>
      <c r="D131" s="23"/>
      <c r="E131" s="56"/>
      <c r="F131" s="23">
        <f>F135+F141+F146+F152+F157+F163+F170+F176+F180+F184+F187</f>
        <v>1761945</v>
      </c>
      <c r="G131" s="23">
        <f>G135+G141+G146+G152+G157+G163+G170+G176+G180</f>
        <v>1758352</v>
      </c>
      <c r="H131" s="56">
        <f t="shared" si="2"/>
        <v>99.8</v>
      </c>
      <c r="I131" s="56"/>
    </row>
    <row r="132" spans="1:9" s="57" customFormat="1" ht="30.75" customHeight="1" hidden="1">
      <c r="A132" s="10"/>
      <c r="B132" s="17"/>
      <c r="C132" s="16"/>
      <c r="D132" s="23"/>
      <c r="E132" s="56"/>
      <c r="F132" s="23"/>
      <c r="G132" s="23"/>
      <c r="H132" s="6"/>
      <c r="I132" s="27"/>
    </row>
    <row r="133" spans="1:9" s="57" customFormat="1" ht="30.75" customHeight="1" hidden="1">
      <c r="A133" s="10"/>
      <c r="B133" s="17"/>
      <c r="C133" s="16"/>
      <c r="D133" s="23"/>
      <c r="E133" s="56"/>
      <c r="F133" s="23"/>
      <c r="G133" s="23"/>
      <c r="H133" s="6"/>
      <c r="I133" s="27"/>
    </row>
    <row r="134" spans="1:9" s="57" customFormat="1" ht="30.75" customHeight="1" hidden="1">
      <c r="A134" s="10"/>
      <c r="B134" s="17"/>
      <c r="C134" s="16"/>
      <c r="D134" s="23"/>
      <c r="E134" s="56"/>
      <c r="F134" s="23"/>
      <c r="G134" s="23"/>
      <c r="H134" s="6"/>
      <c r="I134" s="27"/>
    </row>
    <row r="135" spans="1:9" s="57" customFormat="1" ht="48" customHeight="1">
      <c r="A135" s="53" t="s">
        <v>129</v>
      </c>
      <c r="B135" s="17" t="s">
        <v>90</v>
      </c>
      <c r="C135" s="16" t="s">
        <v>7</v>
      </c>
      <c r="D135" s="23"/>
      <c r="E135" s="56"/>
      <c r="F135" s="23">
        <f>F138+F139+F140</f>
        <v>7453</v>
      </c>
      <c r="G135" s="23">
        <f>G138+G140+G139</f>
        <v>7452</v>
      </c>
      <c r="H135" s="56">
        <f t="shared" si="2"/>
        <v>100</v>
      </c>
      <c r="I135" s="36" t="s">
        <v>49</v>
      </c>
    </row>
    <row r="136" spans="1:9" s="57" customFormat="1" ht="21.75" customHeight="1" hidden="1">
      <c r="A136" s="10"/>
      <c r="B136" s="11" t="s">
        <v>4</v>
      </c>
      <c r="C136" s="8"/>
      <c r="D136" s="23"/>
      <c r="E136" s="56"/>
      <c r="F136" s="15"/>
      <c r="G136" s="23"/>
      <c r="H136" s="6">
        <f t="shared" si="2"/>
        <v>0</v>
      </c>
      <c r="I136" s="27"/>
    </row>
    <row r="137" spans="1:9" s="57" customFormat="1" ht="21.75" customHeight="1" hidden="1">
      <c r="A137" s="10"/>
      <c r="B137" s="24" t="s">
        <v>13</v>
      </c>
      <c r="C137" s="8"/>
      <c r="D137" s="23"/>
      <c r="E137" s="56"/>
      <c r="F137" s="15"/>
      <c r="G137" s="23"/>
      <c r="H137" s="6">
        <f aca="true" t="shared" si="3" ref="H137:H220">IF(G137&gt;0,ROUND(G137*100/F137,1),)</f>
        <v>0</v>
      </c>
      <c r="I137" s="27"/>
    </row>
    <row r="138" spans="1:9" s="57" customFormat="1" ht="21.75" customHeight="1" hidden="1">
      <c r="A138" s="10"/>
      <c r="B138" s="24" t="s">
        <v>13</v>
      </c>
      <c r="C138" s="8"/>
      <c r="D138" s="23"/>
      <c r="E138" s="56"/>
      <c r="F138" s="15"/>
      <c r="G138" s="15"/>
      <c r="H138" s="6">
        <f t="shared" si="3"/>
        <v>0</v>
      </c>
      <c r="I138" s="27"/>
    </row>
    <row r="139" spans="1:9" s="57" customFormat="1" ht="21" customHeight="1" hidden="1">
      <c r="A139" s="10"/>
      <c r="B139" s="11" t="s">
        <v>3</v>
      </c>
      <c r="C139" s="8"/>
      <c r="D139" s="23"/>
      <c r="E139" s="56"/>
      <c r="F139" s="15"/>
      <c r="G139" s="15"/>
      <c r="H139" s="6">
        <f t="shared" si="3"/>
        <v>0</v>
      </c>
      <c r="I139" s="27"/>
    </row>
    <row r="140" spans="1:9" s="57" customFormat="1" ht="21.75" customHeight="1">
      <c r="A140" s="10"/>
      <c r="B140" s="9" t="s">
        <v>2</v>
      </c>
      <c r="C140" s="8"/>
      <c r="D140" s="23"/>
      <c r="E140" s="56"/>
      <c r="F140" s="15">
        <v>7453</v>
      </c>
      <c r="G140" s="15">
        <v>7452</v>
      </c>
      <c r="H140" s="6">
        <f t="shared" si="3"/>
        <v>100</v>
      </c>
      <c r="I140" s="27"/>
    </row>
    <row r="141" spans="1:9" s="57" customFormat="1" ht="48" customHeight="1">
      <c r="A141" s="53" t="s">
        <v>130</v>
      </c>
      <c r="B141" s="29" t="s">
        <v>11</v>
      </c>
      <c r="C141" s="16" t="s">
        <v>7</v>
      </c>
      <c r="D141" s="23"/>
      <c r="E141" s="56"/>
      <c r="F141" s="23">
        <f>F143+F144+F145</f>
        <v>492156</v>
      </c>
      <c r="G141" s="23">
        <f>G143+G144+G145</f>
        <v>488820</v>
      </c>
      <c r="H141" s="56">
        <f t="shared" si="3"/>
        <v>99.3</v>
      </c>
      <c r="I141" s="36" t="s">
        <v>49</v>
      </c>
    </row>
    <row r="142" spans="1:9" s="57" customFormat="1" ht="16.5" customHeight="1">
      <c r="A142" s="10"/>
      <c r="B142" s="11" t="s">
        <v>4</v>
      </c>
      <c r="C142" s="8"/>
      <c r="D142" s="15"/>
      <c r="E142" s="6"/>
      <c r="F142" s="15"/>
      <c r="G142" s="15"/>
      <c r="H142" s="6">
        <f t="shared" si="3"/>
        <v>0</v>
      </c>
      <c r="I142" s="27"/>
    </row>
    <row r="143" spans="1:9" s="57" customFormat="1" ht="17.25" customHeight="1">
      <c r="A143" s="10"/>
      <c r="B143" s="24" t="s">
        <v>13</v>
      </c>
      <c r="C143" s="8"/>
      <c r="D143" s="6">
        <f>143674.3+76685</f>
        <v>220359.3</v>
      </c>
      <c r="E143" s="6">
        <f>143674.3+76685-10000</f>
        <v>210359.3</v>
      </c>
      <c r="F143" s="15">
        <v>100000</v>
      </c>
      <c r="G143" s="15">
        <v>99999</v>
      </c>
      <c r="H143" s="6">
        <f t="shared" si="3"/>
        <v>100</v>
      </c>
      <c r="I143" s="56"/>
    </row>
    <row r="144" spans="1:9" s="57" customFormat="1" ht="21.75" customHeight="1">
      <c r="A144" s="10"/>
      <c r="B144" s="11" t="s">
        <v>159</v>
      </c>
      <c r="C144" s="8"/>
      <c r="D144" s="6"/>
      <c r="E144" s="6">
        <v>10000</v>
      </c>
      <c r="F144" s="15">
        <f>12388.3+5258.8+298004.9-35100</f>
        <v>280552</v>
      </c>
      <c r="G144" s="15">
        <v>278211</v>
      </c>
      <c r="H144" s="6">
        <f t="shared" si="3"/>
        <v>99.2</v>
      </c>
      <c r="I144" s="56"/>
    </row>
    <row r="145" spans="1:9" s="57" customFormat="1" ht="19.5" customHeight="1">
      <c r="A145" s="28"/>
      <c r="B145" s="9" t="s">
        <v>2</v>
      </c>
      <c r="C145" s="14"/>
      <c r="D145" s="12"/>
      <c r="E145" s="12"/>
      <c r="F145" s="64">
        <f>126504-14900</f>
        <v>111604</v>
      </c>
      <c r="G145" s="15">
        <v>110610</v>
      </c>
      <c r="H145" s="6">
        <f t="shared" si="3"/>
        <v>99.1</v>
      </c>
      <c r="I145" s="27"/>
    </row>
    <row r="146" spans="1:9" s="57" customFormat="1" ht="50.25" customHeight="1">
      <c r="A146" s="53" t="s">
        <v>131</v>
      </c>
      <c r="B146" s="29" t="s">
        <v>36</v>
      </c>
      <c r="C146" s="16" t="s">
        <v>7</v>
      </c>
      <c r="D146" s="23"/>
      <c r="E146" s="56"/>
      <c r="F146" s="23">
        <f>F148+F149+F151</f>
        <v>386697</v>
      </c>
      <c r="G146" s="23">
        <f>G148+G149+G151</f>
        <v>386696</v>
      </c>
      <c r="H146" s="56">
        <f t="shared" si="3"/>
        <v>100</v>
      </c>
      <c r="I146" s="36" t="s">
        <v>49</v>
      </c>
    </row>
    <row r="147" spans="1:9" s="57" customFormat="1" ht="18.75" customHeight="1">
      <c r="A147" s="10"/>
      <c r="B147" s="11" t="s">
        <v>4</v>
      </c>
      <c r="C147" s="8"/>
      <c r="D147" s="15"/>
      <c r="E147" s="6"/>
      <c r="F147" s="15"/>
      <c r="G147" s="15"/>
      <c r="H147" s="6">
        <f t="shared" si="3"/>
        <v>0</v>
      </c>
      <c r="I147" s="27"/>
    </row>
    <row r="148" spans="1:9" s="57" customFormat="1" ht="18.75" customHeight="1">
      <c r="A148" s="10"/>
      <c r="B148" s="24" t="s">
        <v>13</v>
      </c>
      <c r="C148" s="8"/>
      <c r="D148" s="6">
        <f>143674.3+76685</f>
        <v>220359.3</v>
      </c>
      <c r="E148" s="6">
        <f>143674.3+76685-10000</f>
        <v>210359.3</v>
      </c>
      <c r="F148" s="15">
        <f>110000+50000</f>
        <v>160000</v>
      </c>
      <c r="G148" s="15">
        <v>159999</v>
      </c>
      <c r="H148" s="6">
        <f t="shared" si="3"/>
        <v>100</v>
      </c>
      <c r="I148" s="27"/>
    </row>
    <row r="149" spans="1:9" s="57" customFormat="1" ht="29.25" customHeight="1">
      <c r="A149" s="10"/>
      <c r="B149" s="11" t="s">
        <v>159</v>
      </c>
      <c r="C149" s="8"/>
      <c r="D149" s="6"/>
      <c r="E149" s="6">
        <v>10000</v>
      </c>
      <c r="F149" s="15">
        <f>13627.1+139319.7+5784.7+6194.1+2629.4</f>
        <v>167555.00000000003</v>
      </c>
      <c r="G149" s="15">
        <v>167555</v>
      </c>
      <c r="H149" s="6">
        <f t="shared" si="3"/>
        <v>100</v>
      </c>
      <c r="I149" s="27"/>
    </row>
    <row r="150" spans="1:9" s="57" customFormat="1" ht="21.75" customHeight="1" hidden="1">
      <c r="A150" s="28"/>
      <c r="B150" s="33" t="s">
        <v>65</v>
      </c>
      <c r="C150" s="14"/>
      <c r="D150" s="12"/>
      <c r="E150" s="12"/>
      <c r="F150" s="62">
        <f>5784.7+2629.4</f>
        <v>8414.1</v>
      </c>
      <c r="G150" s="62">
        <v>8414.1</v>
      </c>
      <c r="H150" s="6">
        <f t="shared" si="3"/>
        <v>100</v>
      </c>
      <c r="I150" s="27"/>
    </row>
    <row r="151" spans="1:9" s="57" customFormat="1" ht="17.25" customHeight="1">
      <c r="A151" s="28"/>
      <c r="B151" s="9" t="s">
        <v>2</v>
      </c>
      <c r="C151" s="14"/>
      <c r="D151" s="12"/>
      <c r="E151" s="12"/>
      <c r="F151" s="13">
        <v>59142</v>
      </c>
      <c r="G151" s="15">
        <v>59142</v>
      </c>
      <c r="H151" s="6">
        <f t="shared" si="3"/>
        <v>100</v>
      </c>
      <c r="I151" s="27"/>
    </row>
    <row r="152" spans="1:9" s="57" customFormat="1" ht="62.25" customHeight="1">
      <c r="A152" s="54" t="s">
        <v>132</v>
      </c>
      <c r="B152" s="29" t="s">
        <v>66</v>
      </c>
      <c r="C152" s="16" t="s">
        <v>7</v>
      </c>
      <c r="D152" s="23"/>
      <c r="E152" s="56"/>
      <c r="F152" s="23">
        <f>F154+F155+F156</f>
        <v>361618</v>
      </c>
      <c r="G152" s="23">
        <f>G154+G155+G156</f>
        <v>361617</v>
      </c>
      <c r="H152" s="56">
        <f t="shared" si="3"/>
        <v>100</v>
      </c>
      <c r="I152" s="36" t="s">
        <v>49</v>
      </c>
    </row>
    <row r="153" spans="1:9" s="57" customFormat="1" ht="17.25" customHeight="1">
      <c r="A153" s="28"/>
      <c r="B153" s="11" t="s">
        <v>4</v>
      </c>
      <c r="C153" s="8"/>
      <c r="D153" s="15"/>
      <c r="E153" s="6"/>
      <c r="F153" s="15"/>
      <c r="G153" s="15"/>
      <c r="H153" s="6">
        <f t="shared" si="3"/>
        <v>0</v>
      </c>
      <c r="I153" s="27"/>
    </row>
    <row r="154" spans="1:9" s="57" customFormat="1" ht="17.25" customHeight="1">
      <c r="A154" s="28"/>
      <c r="B154" s="24" t="s">
        <v>13</v>
      </c>
      <c r="C154" s="8"/>
      <c r="D154" s="6">
        <f>143674.3+76685</f>
        <v>220359.3</v>
      </c>
      <c r="E154" s="6">
        <f>143674.3+76685-10000</f>
        <v>210359.3</v>
      </c>
      <c r="F154" s="15">
        <v>210000</v>
      </c>
      <c r="G154" s="15">
        <v>209999</v>
      </c>
      <c r="H154" s="6">
        <f t="shared" si="3"/>
        <v>100</v>
      </c>
      <c r="I154" s="27"/>
    </row>
    <row r="155" spans="1:9" s="57" customFormat="1" ht="24" customHeight="1">
      <c r="A155" s="28"/>
      <c r="B155" s="11" t="s">
        <v>159</v>
      </c>
      <c r="C155" s="8"/>
      <c r="D155" s="6"/>
      <c r="E155" s="6">
        <v>10000</v>
      </c>
      <c r="F155" s="15">
        <f>11043.5+26015.4+10000+70419.8+0.3</f>
        <v>117479.00000000001</v>
      </c>
      <c r="G155" s="15">
        <f>117479</f>
        <v>117479</v>
      </c>
      <c r="H155" s="6">
        <f t="shared" si="3"/>
        <v>100</v>
      </c>
      <c r="I155" s="27"/>
    </row>
    <row r="156" spans="1:9" s="57" customFormat="1" ht="17.25" customHeight="1">
      <c r="A156" s="28"/>
      <c r="B156" s="9" t="s">
        <v>2</v>
      </c>
      <c r="C156" s="14"/>
      <c r="D156" s="12"/>
      <c r="E156" s="12"/>
      <c r="F156" s="15">
        <f>34138.3+1.3-0.6</f>
        <v>34139.00000000001</v>
      </c>
      <c r="G156" s="15">
        <v>34139</v>
      </c>
      <c r="H156" s="6">
        <f>IF(G156&gt;0,ROUND(G156*100/F156,1),)</f>
        <v>100</v>
      </c>
      <c r="I156" s="27"/>
    </row>
    <row r="157" spans="1:9" s="57" customFormat="1" ht="38.25" customHeight="1">
      <c r="A157" s="54" t="s">
        <v>133</v>
      </c>
      <c r="B157" s="29" t="s">
        <v>67</v>
      </c>
      <c r="C157" s="16" t="s">
        <v>7</v>
      </c>
      <c r="D157" s="23"/>
      <c r="E157" s="56"/>
      <c r="F157" s="23">
        <f>F159+F160+F162</f>
        <v>154678</v>
      </c>
      <c r="G157" s="23">
        <f>G159+G160+G162</f>
        <v>154675</v>
      </c>
      <c r="H157" s="56">
        <f t="shared" si="3"/>
        <v>100</v>
      </c>
      <c r="I157" s="36" t="s">
        <v>49</v>
      </c>
    </row>
    <row r="158" spans="1:9" s="57" customFormat="1" ht="17.25" customHeight="1">
      <c r="A158" s="28"/>
      <c r="B158" s="11" t="s">
        <v>4</v>
      </c>
      <c r="C158" s="8"/>
      <c r="D158" s="15"/>
      <c r="E158" s="6"/>
      <c r="F158" s="15"/>
      <c r="G158" s="15"/>
      <c r="H158" s="6"/>
      <c r="I158" s="27"/>
    </row>
    <row r="159" spans="1:9" s="57" customFormat="1" ht="17.25" customHeight="1">
      <c r="A159" s="28"/>
      <c r="B159" s="24" t="s">
        <v>13</v>
      </c>
      <c r="C159" s="8"/>
      <c r="D159" s="6">
        <f>143674.3+76685</f>
        <v>220359.3</v>
      </c>
      <c r="E159" s="6">
        <f>143674.3+76685-10000</f>
        <v>210359.3</v>
      </c>
      <c r="F159" s="15">
        <v>130000</v>
      </c>
      <c r="G159" s="15">
        <v>130000</v>
      </c>
      <c r="H159" s="6">
        <f t="shared" si="3"/>
        <v>100</v>
      </c>
      <c r="I159" s="27"/>
    </row>
    <row r="160" spans="1:9" s="57" customFormat="1" ht="21.75" customHeight="1">
      <c r="A160" s="28"/>
      <c r="B160" s="11" t="s">
        <v>159</v>
      </c>
      <c r="C160" s="8"/>
      <c r="D160" s="6"/>
      <c r="E160" s="6">
        <v>10000</v>
      </c>
      <c r="F160" s="15">
        <v>24158</v>
      </c>
      <c r="G160" s="15">
        <v>24158</v>
      </c>
      <c r="H160" s="6">
        <f t="shared" si="3"/>
        <v>100</v>
      </c>
      <c r="I160" s="27"/>
    </row>
    <row r="161" spans="1:9" s="57" customFormat="1" ht="17.25" customHeight="1" hidden="1">
      <c r="A161" s="28"/>
      <c r="B161" s="33" t="s">
        <v>65</v>
      </c>
      <c r="C161" s="14"/>
      <c r="D161" s="12"/>
      <c r="E161" s="12"/>
      <c r="F161" s="62">
        <v>6836.5</v>
      </c>
      <c r="G161" s="63">
        <v>6836.5</v>
      </c>
      <c r="H161" s="38">
        <f t="shared" si="3"/>
        <v>100</v>
      </c>
      <c r="I161" s="27"/>
    </row>
    <row r="162" spans="1:9" s="57" customFormat="1" ht="17.25" customHeight="1">
      <c r="A162" s="28"/>
      <c r="B162" s="9" t="s">
        <v>2</v>
      </c>
      <c r="C162" s="14"/>
      <c r="D162" s="12"/>
      <c r="E162" s="12"/>
      <c r="F162" s="13">
        <v>520</v>
      </c>
      <c r="G162" s="15">
        <v>517</v>
      </c>
      <c r="H162" s="38">
        <f t="shared" si="3"/>
        <v>99.4</v>
      </c>
      <c r="I162" s="27"/>
    </row>
    <row r="163" spans="1:9" s="57" customFormat="1" ht="45.75" customHeight="1">
      <c r="A163" s="54" t="s">
        <v>134</v>
      </c>
      <c r="B163" s="29" t="s">
        <v>68</v>
      </c>
      <c r="C163" s="16" t="s">
        <v>7</v>
      </c>
      <c r="D163" s="23"/>
      <c r="E163" s="56"/>
      <c r="F163" s="23">
        <f>F165+F166+F168</f>
        <v>195437</v>
      </c>
      <c r="G163" s="23">
        <f>G165+G166+G168</f>
        <v>195436</v>
      </c>
      <c r="H163" s="56">
        <f t="shared" si="3"/>
        <v>100</v>
      </c>
      <c r="I163" s="36" t="s">
        <v>49</v>
      </c>
    </row>
    <row r="164" spans="1:9" s="57" customFormat="1" ht="17.25" customHeight="1">
      <c r="A164" s="28"/>
      <c r="B164" s="11" t="s">
        <v>4</v>
      </c>
      <c r="C164" s="8"/>
      <c r="D164" s="15"/>
      <c r="E164" s="6"/>
      <c r="F164" s="15"/>
      <c r="G164" s="15"/>
      <c r="H164" s="6"/>
      <c r="I164" s="27"/>
    </row>
    <row r="165" spans="1:9" s="57" customFormat="1" ht="22.5" customHeight="1">
      <c r="A165" s="28"/>
      <c r="B165" s="24" t="s">
        <v>13</v>
      </c>
      <c r="C165" s="8"/>
      <c r="D165" s="6">
        <f>143674.3+76685</f>
        <v>220359.3</v>
      </c>
      <c r="E165" s="6">
        <f>143674.3+76685-10000</f>
        <v>210359.3</v>
      </c>
      <c r="F165" s="15">
        <v>160000</v>
      </c>
      <c r="G165" s="15">
        <v>159999</v>
      </c>
      <c r="H165" s="6">
        <f t="shared" si="3"/>
        <v>100</v>
      </c>
      <c r="I165" s="27"/>
    </row>
    <row r="166" spans="1:9" s="57" customFormat="1" ht="19.5" customHeight="1">
      <c r="A166" s="28"/>
      <c r="B166" s="11" t="s">
        <v>159</v>
      </c>
      <c r="C166" s="8"/>
      <c r="D166" s="6"/>
      <c r="E166" s="6">
        <v>10000</v>
      </c>
      <c r="F166" s="15">
        <f>10000+8414.1+19821.2-4945-0.3</f>
        <v>33290</v>
      </c>
      <c r="G166" s="15">
        <v>33290</v>
      </c>
      <c r="H166" s="6">
        <f t="shared" si="3"/>
        <v>100</v>
      </c>
      <c r="I166" s="27"/>
    </row>
    <row r="167" spans="1:9" s="57" customFormat="1" ht="17.25" customHeight="1" hidden="1">
      <c r="A167" s="28"/>
      <c r="B167" s="33" t="s">
        <v>65</v>
      </c>
      <c r="C167" s="14"/>
      <c r="D167" s="12"/>
      <c r="E167" s="12"/>
      <c r="F167" s="62">
        <v>8414.1</v>
      </c>
      <c r="G167" s="63">
        <v>8414.1</v>
      </c>
      <c r="H167" s="38">
        <f t="shared" si="3"/>
        <v>100</v>
      </c>
      <c r="I167" s="27"/>
    </row>
    <row r="168" spans="1:9" s="57" customFormat="1" ht="17.25" customHeight="1">
      <c r="A168" s="28"/>
      <c r="B168" s="9" t="s">
        <v>2</v>
      </c>
      <c r="C168" s="14"/>
      <c r="D168" s="12"/>
      <c r="E168" s="12"/>
      <c r="F168" s="13">
        <f>2145.9+0.8+0.3</f>
        <v>2147.0000000000005</v>
      </c>
      <c r="G168" s="15">
        <v>2147</v>
      </c>
      <c r="H168" s="38">
        <f t="shared" si="3"/>
        <v>100</v>
      </c>
      <c r="I168" s="27"/>
    </row>
    <row r="169" spans="1:9" s="57" customFormat="1" ht="17.25" customHeight="1">
      <c r="A169" s="28"/>
      <c r="B169" s="44"/>
      <c r="C169" s="14"/>
      <c r="D169" s="12"/>
      <c r="E169" s="12"/>
      <c r="F169" s="12"/>
      <c r="G169" s="6"/>
      <c r="H169" s="6"/>
      <c r="I169" s="27"/>
    </row>
    <row r="170" spans="1:9" s="57" customFormat="1" ht="46.5" customHeight="1">
      <c r="A170" s="54" t="s">
        <v>135</v>
      </c>
      <c r="B170" s="48" t="s">
        <v>34</v>
      </c>
      <c r="C170" s="16" t="s">
        <v>7</v>
      </c>
      <c r="D170" s="56"/>
      <c r="E170" s="56"/>
      <c r="F170" s="56">
        <f>F172+F173+F174</f>
        <v>18427</v>
      </c>
      <c r="G170" s="56">
        <f>G173+G174+G172</f>
        <v>18425</v>
      </c>
      <c r="H170" s="56">
        <f t="shared" si="3"/>
        <v>100</v>
      </c>
      <c r="I170" s="36" t="s">
        <v>49</v>
      </c>
    </row>
    <row r="171" spans="1:9" s="57" customFormat="1" ht="17.25" customHeight="1">
      <c r="A171" s="28"/>
      <c r="B171" s="11" t="s">
        <v>4</v>
      </c>
      <c r="C171" s="8"/>
      <c r="D171" s="6"/>
      <c r="E171" s="6"/>
      <c r="F171" s="6"/>
      <c r="G171" s="56"/>
      <c r="H171" s="6">
        <f t="shared" si="3"/>
        <v>0</v>
      </c>
      <c r="I171" s="27"/>
    </row>
    <row r="172" spans="1:9" s="57" customFormat="1" ht="17.25" customHeight="1" hidden="1">
      <c r="A172" s="28"/>
      <c r="B172" s="24" t="s">
        <v>13</v>
      </c>
      <c r="C172" s="8"/>
      <c r="D172" s="6"/>
      <c r="E172" s="6"/>
      <c r="F172" s="6"/>
      <c r="G172" s="6"/>
      <c r="H172" s="6">
        <f t="shared" si="3"/>
        <v>0</v>
      </c>
      <c r="I172" s="27"/>
    </row>
    <row r="173" spans="1:9" s="57" customFormat="1" ht="18" customHeight="1">
      <c r="A173" s="28"/>
      <c r="B173" s="11" t="s">
        <v>159</v>
      </c>
      <c r="C173" s="8"/>
      <c r="D173" s="6"/>
      <c r="E173" s="6"/>
      <c r="F173" s="6">
        <v>8550</v>
      </c>
      <c r="G173" s="19">
        <f>F173</f>
        <v>8550</v>
      </c>
      <c r="H173" s="6">
        <f t="shared" si="3"/>
        <v>100</v>
      </c>
      <c r="I173" s="27"/>
    </row>
    <row r="174" spans="1:9" s="57" customFormat="1" ht="21" customHeight="1">
      <c r="A174" s="28"/>
      <c r="B174" s="9" t="s">
        <v>2</v>
      </c>
      <c r="C174" s="8"/>
      <c r="D174" s="6"/>
      <c r="E174" s="6"/>
      <c r="F174" s="6">
        <v>9877</v>
      </c>
      <c r="G174" s="6">
        <v>9875</v>
      </c>
      <c r="H174" s="6">
        <f t="shared" si="3"/>
        <v>100</v>
      </c>
      <c r="I174" s="27"/>
    </row>
    <row r="175" spans="1:9" s="57" customFormat="1" ht="14.25" customHeight="1" hidden="1">
      <c r="A175" s="28"/>
      <c r="B175" s="31" t="s">
        <v>33</v>
      </c>
      <c r="C175" s="16" t="s">
        <v>32</v>
      </c>
      <c r="D175" s="6"/>
      <c r="E175" s="6"/>
      <c r="F175" s="26" t="e">
        <f>#REF!</f>
        <v>#REF!</v>
      </c>
      <c r="G175" s="26" t="e">
        <f>#REF!</f>
        <v>#REF!</v>
      </c>
      <c r="H175" s="6" t="e">
        <f t="shared" si="3"/>
        <v>#REF!</v>
      </c>
      <c r="I175" s="27"/>
    </row>
    <row r="176" spans="1:9" s="57" customFormat="1" ht="48" customHeight="1">
      <c r="A176" s="54" t="s">
        <v>136</v>
      </c>
      <c r="B176" s="49" t="s">
        <v>79</v>
      </c>
      <c r="C176" s="16" t="s">
        <v>7</v>
      </c>
      <c r="D176" s="56"/>
      <c r="E176" s="56"/>
      <c r="F176" s="56">
        <f>F178+F179</f>
        <v>71542</v>
      </c>
      <c r="G176" s="56">
        <f>G178+G179</f>
        <v>71416</v>
      </c>
      <c r="H176" s="56">
        <f t="shared" si="3"/>
        <v>99.8</v>
      </c>
      <c r="I176" s="36" t="s">
        <v>49</v>
      </c>
    </row>
    <row r="177" spans="1:9" s="57" customFormat="1" ht="16.5" customHeight="1">
      <c r="A177" s="28"/>
      <c r="B177" s="11" t="s">
        <v>4</v>
      </c>
      <c r="C177" s="8"/>
      <c r="D177" s="6"/>
      <c r="E177" s="6"/>
      <c r="F177" s="6"/>
      <c r="G177" s="6"/>
      <c r="H177" s="6"/>
      <c r="I177" s="27"/>
    </row>
    <row r="178" spans="1:9" s="57" customFormat="1" ht="21.75" customHeight="1">
      <c r="A178" s="28"/>
      <c r="B178" s="11" t="s">
        <v>159</v>
      </c>
      <c r="C178" s="8"/>
      <c r="D178" s="6"/>
      <c r="E178" s="6"/>
      <c r="F178" s="6">
        <f>77600.7-28080+0.3</f>
        <v>49521</v>
      </c>
      <c r="G178" s="6">
        <v>49521</v>
      </c>
      <c r="H178" s="6">
        <f t="shared" si="3"/>
        <v>100</v>
      </c>
      <c r="I178" s="27"/>
    </row>
    <row r="179" spans="1:9" s="57" customFormat="1" ht="16.5" customHeight="1">
      <c r="A179" s="28"/>
      <c r="B179" s="9" t="s">
        <v>2</v>
      </c>
      <c r="C179" s="8"/>
      <c r="D179" s="6"/>
      <c r="E179" s="6"/>
      <c r="F179" s="6">
        <f>32927-11905.4+1000-0.6</f>
        <v>22021</v>
      </c>
      <c r="G179" s="6">
        <v>21895</v>
      </c>
      <c r="H179" s="6">
        <f t="shared" si="3"/>
        <v>99.4</v>
      </c>
      <c r="I179" s="56"/>
    </row>
    <row r="180" spans="1:9" s="57" customFormat="1" ht="51.75" customHeight="1">
      <c r="A180" s="54" t="s">
        <v>137</v>
      </c>
      <c r="B180" s="49" t="s">
        <v>28</v>
      </c>
      <c r="C180" s="16" t="s">
        <v>7</v>
      </c>
      <c r="D180" s="56"/>
      <c r="E180" s="56"/>
      <c r="F180" s="56">
        <f>F183+F182</f>
        <v>73917</v>
      </c>
      <c r="G180" s="56">
        <f>SUM(G182:G183)</f>
        <v>73815</v>
      </c>
      <c r="H180" s="56">
        <f t="shared" si="3"/>
        <v>99.9</v>
      </c>
      <c r="I180" s="36" t="s">
        <v>49</v>
      </c>
    </row>
    <row r="181" spans="1:9" s="57" customFormat="1" ht="16.5" customHeight="1">
      <c r="A181" s="28"/>
      <c r="B181" s="11" t="s">
        <v>4</v>
      </c>
      <c r="C181" s="8"/>
      <c r="D181" s="6"/>
      <c r="E181" s="6"/>
      <c r="F181" s="6"/>
      <c r="G181" s="6"/>
      <c r="H181" s="6"/>
      <c r="I181" s="27"/>
    </row>
    <row r="182" spans="1:9" s="57" customFormat="1" ht="18" customHeight="1">
      <c r="A182" s="28"/>
      <c r="B182" s="11" t="s">
        <v>159</v>
      </c>
      <c r="C182" s="8"/>
      <c r="D182" s="6"/>
      <c r="E182" s="6"/>
      <c r="F182" s="6">
        <v>51275</v>
      </c>
      <c r="G182" s="6">
        <v>51275</v>
      </c>
      <c r="H182" s="6">
        <f t="shared" si="3"/>
        <v>100</v>
      </c>
      <c r="I182" s="27"/>
    </row>
    <row r="183" spans="1:9" s="57" customFormat="1" ht="20.25" customHeight="1">
      <c r="A183" s="28"/>
      <c r="B183" s="9" t="s">
        <v>2</v>
      </c>
      <c r="C183" s="8"/>
      <c r="D183" s="6"/>
      <c r="E183" s="6"/>
      <c r="F183" s="6">
        <v>22642</v>
      </c>
      <c r="G183" s="6">
        <v>22540</v>
      </c>
      <c r="H183" s="6">
        <f t="shared" si="3"/>
        <v>99.5</v>
      </c>
      <c r="I183" s="56"/>
    </row>
    <row r="184" spans="1:9" s="57" customFormat="1" ht="43.5" customHeight="1">
      <c r="A184" s="54" t="s">
        <v>138</v>
      </c>
      <c r="B184" s="49" t="s">
        <v>116</v>
      </c>
      <c r="C184" s="16" t="s">
        <v>7</v>
      </c>
      <c r="D184" s="56"/>
      <c r="E184" s="56"/>
      <c r="F184" s="23">
        <f>F186</f>
        <v>10</v>
      </c>
      <c r="G184" s="56">
        <f>G186</f>
        <v>0</v>
      </c>
      <c r="H184" s="56">
        <f>IF(G184&gt;0,ROUND(G184*100/F184,1),)</f>
        <v>0</v>
      </c>
      <c r="I184" s="36" t="s">
        <v>49</v>
      </c>
    </row>
    <row r="185" spans="1:9" s="57" customFormat="1" ht="20.25" customHeight="1">
      <c r="A185" s="28"/>
      <c r="B185" s="11" t="s">
        <v>4</v>
      </c>
      <c r="C185" s="8"/>
      <c r="D185" s="6"/>
      <c r="E185" s="6"/>
      <c r="F185" s="15"/>
      <c r="G185" s="6"/>
      <c r="H185" s="6"/>
      <c r="I185" s="56"/>
    </row>
    <row r="186" spans="1:9" s="57" customFormat="1" ht="20.25" customHeight="1">
      <c r="A186" s="28"/>
      <c r="B186" s="9" t="s">
        <v>2</v>
      </c>
      <c r="C186" s="8"/>
      <c r="D186" s="6"/>
      <c r="E186" s="6"/>
      <c r="F186" s="15">
        <v>10</v>
      </c>
      <c r="G186" s="6"/>
      <c r="H186" s="6">
        <f>IF(G186&gt;0,ROUND(G186*100/F186,1),)</f>
        <v>0</v>
      </c>
      <c r="I186" s="56"/>
    </row>
    <row r="187" spans="1:9" s="57" customFormat="1" ht="36" customHeight="1">
      <c r="A187" s="54" t="s">
        <v>139</v>
      </c>
      <c r="B187" s="49" t="s">
        <v>117</v>
      </c>
      <c r="C187" s="16" t="s">
        <v>7</v>
      </c>
      <c r="D187" s="56"/>
      <c r="E187" s="56"/>
      <c r="F187" s="23">
        <f>F189</f>
        <v>10</v>
      </c>
      <c r="G187" s="56">
        <f>G189</f>
        <v>0</v>
      </c>
      <c r="H187" s="56">
        <f>IF(G187&gt;0,ROUND(G187*100/F187,1),)</f>
        <v>0</v>
      </c>
      <c r="I187" s="36" t="s">
        <v>49</v>
      </c>
    </row>
    <row r="188" spans="1:9" s="57" customFormat="1" ht="20.25" customHeight="1">
      <c r="A188" s="28"/>
      <c r="B188" s="11" t="s">
        <v>4</v>
      </c>
      <c r="C188" s="8"/>
      <c r="D188" s="6"/>
      <c r="E188" s="6"/>
      <c r="F188" s="15"/>
      <c r="G188" s="6"/>
      <c r="H188" s="6"/>
      <c r="I188" s="56"/>
    </row>
    <row r="189" spans="1:9" s="57" customFormat="1" ht="20.25" customHeight="1">
      <c r="A189" s="28"/>
      <c r="B189" s="9" t="s">
        <v>2</v>
      </c>
      <c r="C189" s="8"/>
      <c r="D189" s="6"/>
      <c r="E189" s="6"/>
      <c r="F189" s="15">
        <v>10</v>
      </c>
      <c r="G189" s="6"/>
      <c r="H189" s="6">
        <f>IF(G189&gt;0,ROUND(G189*100/F189,1),)</f>
        <v>0</v>
      </c>
      <c r="I189" s="56"/>
    </row>
    <row r="190" spans="1:9" s="57" customFormat="1" ht="20.25" customHeight="1">
      <c r="A190" s="54" t="s">
        <v>140</v>
      </c>
      <c r="B190" s="60" t="s">
        <v>33</v>
      </c>
      <c r="C190" s="16" t="s">
        <v>32</v>
      </c>
      <c r="D190" s="6"/>
      <c r="E190" s="6"/>
      <c r="F190" s="23">
        <v>10</v>
      </c>
      <c r="G190" s="6"/>
      <c r="H190" s="6"/>
      <c r="I190" s="27"/>
    </row>
    <row r="191" spans="1:9" s="57" customFormat="1" ht="20.25" customHeight="1">
      <c r="A191" s="54"/>
      <c r="B191" s="31" t="s">
        <v>141</v>
      </c>
      <c r="C191" s="16" t="s">
        <v>109</v>
      </c>
      <c r="D191" s="6"/>
      <c r="E191" s="6"/>
      <c r="F191" s="23">
        <v>10</v>
      </c>
      <c r="G191" s="6"/>
      <c r="H191" s="6"/>
      <c r="I191" s="27"/>
    </row>
    <row r="192" spans="1:9" s="57" customFormat="1" ht="33.75" customHeight="1">
      <c r="A192" s="28"/>
      <c r="B192" s="30" t="s">
        <v>107</v>
      </c>
      <c r="C192" s="16" t="s">
        <v>109</v>
      </c>
      <c r="D192" s="6"/>
      <c r="E192" s="6"/>
      <c r="F192" s="23">
        <f>SUM(F193)</f>
        <v>10</v>
      </c>
      <c r="G192" s="56">
        <f>SUM(G193)</f>
        <v>0</v>
      </c>
      <c r="H192" s="6"/>
      <c r="I192" s="27"/>
    </row>
    <row r="193" spans="1:9" s="57" customFormat="1" ht="41.25" customHeight="1">
      <c r="A193" s="28"/>
      <c r="B193" s="29" t="s">
        <v>142</v>
      </c>
      <c r="C193" s="16" t="s">
        <v>109</v>
      </c>
      <c r="D193" s="6"/>
      <c r="E193" s="6"/>
      <c r="F193" s="23">
        <f>SUM(F194)</f>
        <v>10</v>
      </c>
      <c r="G193" s="56">
        <f>SUM(G194)</f>
        <v>0</v>
      </c>
      <c r="H193" s="6"/>
      <c r="I193" s="27"/>
    </row>
    <row r="194" spans="1:9" s="57" customFormat="1" ht="38.25" customHeight="1">
      <c r="A194" s="54" t="s">
        <v>143</v>
      </c>
      <c r="B194" s="25" t="s">
        <v>108</v>
      </c>
      <c r="C194" s="8" t="s">
        <v>109</v>
      </c>
      <c r="D194" s="6"/>
      <c r="E194" s="6"/>
      <c r="F194" s="15">
        <f>SUM(F196)</f>
        <v>10</v>
      </c>
      <c r="G194" s="6">
        <f>SUM(G196)</f>
        <v>0</v>
      </c>
      <c r="H194" s="6"/>
      <c r="I194" s="36" t="s">
        <v>49</v>
      </c>
    </row>
    <row r="195" spans="1:9" s="57" customFormat="1" ht="20.25" customHeight="1">
      <c r="A195" s="28"/>
      <c r="B195" s="11" t="s">
        <v>4</v>
      </c>
      <c r="C195" s="8"/>
      <c r="D195" s="6"/>
      <c r="E195" s="6"/>
      <c r="F195" s="15"/>
      <c r="G195" s="6"/>
      <c r="H195" s="6"/>
      <c r="I195" s="27"/>
    </row>
    <row r="196" spans="1:9" s="57" customFormat="1" ht="20.25" customHeight="1">
      <c r="A196" s="28"/>
      <c r="B196" s="9" t="s">
        <v>2</v>
      </c>
      <c r="C196" s="8"/>
      <c r="D196" s="6"/>
      <c r="E196" s="6"/>
      <c r="F196" s="15">
        <v>10</v>
      </c>
      <c r="G196" s="6"/>
      <c r="H196" s="6"/>
      <c r="I196" s="27"/>
    </row>
    <row r="197" spans="1:9" s="57" customFormat="1" ht="16.5">
      <c r="A197" s="16" t="s">
        <v>144</v>
      </c>
      <c r="B197" s="23" t="s">
        <v>17</v>
      </c>
      <c r="C197" s="16" t="s">
        <v>16</v>
      </c>
      <c r="D197" s="15"/>
      <c r="E197" s="15" t="e">
        <f>#REF!-D197</f>
        <v>#REF!</v>
      </c>
      <c r="F197" s="23">
        <f>F200+F206</f>
        <v>63106</v>
      </c>
      <c r="G197" s="23">
        <f>G200+G206</f>
        <v>61538</v>
      </c>
      <c r="H197" s="56">
        <f t="shared" si="3"/>
        <v>97.5</v>
      </c>
      <c r="I197" s="27"/>
    </row>
    <row r="198" spans="1:9" s="57" customFormat="1" ht="16.5">
      <c r="A198" s="16"/>
      <c r="B198" s="23" t="s">
        <v>145</v>
      </c>
      <c r="C198" s="16" t="s">
        <v>14</v>
      </c>
      <c r="D198" s="15"/>
      <c r="E198" s="15"/>
      <c r="F198" s="23">
        <f>F197</f>
        <v>63106</v>
      </c>
      <c r="G198" s="23">
        <f>G197</f>
        <v>61538</v>
      </c>
      <c r="H198" s="56">
        <f t="shared" si="3"/>
        <v>97.5</v>
      </c>
      <c r="I198" s="27"/>
    </row>
    <row r="199" spans="1:9" s="57" customFormat="1" ht="66">
      <c r="A199" s="16"/>
      <c r="B199" s="17" t="s">
        <v>15</v>
      </c>
      <c r="C199" s="16"/>
      <c r="D199" s="23"/>
      <c r="E199" s="56"/>
      <c r="F199" s="23">
        <f>F200</f>
        <v>58889</v>
      </c>
      <c r="G199" s="23">
        <f>G200</f>
        <v>58889</v>
      </c>
      <c r="H199" s="56">
        <f t="shared" si="3"/>
        <v>100</v>
      </c>
      <c r="I199" s="27"/>
    </row>
    <row r="200" spans="1:9" s="57" customFormat="1" ht="33">
      <c r="A200" s="16" t="s">
        <v>146</v>
      </c>
      <c r="B200" s="17" t="s">
        <v>51</v>
      </c>
      <c r="C200" s="16" t="s">
        <v>14</v>
      </c>
      <c r="D200" s="23"/>
      <c r="E200" s="56"/>
      <c r="F200" s="23">
        <f>F205+F203+F202</f>
        <v>58889</v>
      </c>
      <c r="G200" s="23">
        <f>G205+G203+G202</f>
        <v>58889</v>
      </c>
      <c r="H200" s="56">
        <f t="shared" si="3"/>
        <v>100</v>
      </c>
      <c r="I200" s="36" t="s">
        <v>55</v>
      </c>
    </row>
    <row r="201" spans="1:9" s="57" customFormat="1" ht="16.5">
      <c r="A201" s="16"/>
      <c r="B201" s="24" t="s">
        <v>4</v>
      </c>
      <c r="C201" s="8"/>
      <c r="D201" s="23"/>
      <c r="E201" s="56"/>
      <c r="F201" s="15"/>
      <c r="G201" s="23"/>
      <c r="H201" s="6">
        <f aca="true" t="shared" si="4" ref="H201:H208">IF(G201&gt;0,ROUND(G201*100/F201,1),)</f>
        <v>0</v>
      </c>
      <c r="I201" s="27"/>
    </row>
    <row r="202" spans="1:9" s="57" customFormat="1" ht="16.5">
      <c r="A202" s="16"/>
      <c r="B202" s="24" t="s">
        <v>13</v>
      </c>
      <c r="C202" s="16"/>
      <c r="D202" s="23"/>
      <c r="E202" s="56"/>
      <c r="F202" s="15">
        <v>19289</v>
      </c>
      <c r="G202" s="15">
        <v>19289</v>
      </c>
      <c r="H202" s="6">
        <f t="shared" si="4"/>
        <v>100</v>
      </c>
      <c r="I202" s="27"/>
    </row>
    <row r="203" spans="1:9" s="57" customFormat="1" ht="16.5">
      <c r="A203" s="16"/>
      <c r="B203" s="11" t="s">
        <v>159</v>
      </c>
      <c r="C203" s="8"/>
      <c r="D203" s="23"/>
      <c r="E203" s="56"/>
      <c r="F203" s="15">
        <v>28835</v>
      </c>
      <c r="G203" s="15">
        <v>28835</v>
      </c>
      <c r="H203" s="6">
        <f t="shared" si="4"/>
        <v>100</v>
      </c>
      <c r="I203" s="27"/>
    </row>
    <row r="204" spans="1:9" s="57" customFormat="1" ht="30" hidden="1">
      <c r="A204" s="16"/>
      <c r="B204" s="33" t="s">
        <v>65</v>
      </c>
      <c r="C204" s="8"/>
      <c r="D204" s="23"/>
      <c r="E204" s="56"/>
      <c r="F204" s="15"/>
      <c r="G204" s="15"/>
      <c r="H204" s="6">
        <f t="shared" si="4"/>
        <v>0</v>
      </c>
      <c r="I204" s="27"/>
    </row>
    <row r="205" spans="1:9" s="57" customFormat="1" ht="16.5">
      <c r="A205" s="16"/>
      <c r="B205" s="9" t="s">
        <v>2</v>
      </c>
      <c r="C205" s="8"/>
      <c r="D205" s="23"/>
      <c r="E205" s="56"/>
      <c r="F205" s="15">
        <v>10765</v>
      </c>
      <c r="G205" s="15">
        <v>10765</v>
      </c>
      <c r="H205" s="6">
        <f t="shared" si="4"/>
        <v>100</v>
      </c>
      <c r="I205" s="27"/>
    </row>
    <row r="206" spans="1:9" s="57" customFormat="1" ht="49.5">
      <c r="A206" s="16" t="s">
        <v>147</v>
      </c>
      <c r="B206" s="37" t="s">
        <v>50</v>
      </c>
      <c r="C206" s="16" t="s">
        <v>14</v>
      </c>
      <c r="D206" s="23"/>
      <c r="E206" s="56"/>
      <c r="F206" s="23">
        <f>F208</f>
        <v>4217</v>
      </c>
      <c r="G206" s="23">
        <f>G208</f>
        <v>2649</v>
      </c>
      <c r="H206" s="6">
        <f t="shared" si="4"/>
        <v>62.8</v>
      </c>
      <c r="I206" s="36" t="s">
        <v>55</v>
      </c>
    </row>
    <row r="207" spans="1:9" s="57" customFormat="1" ht="16.5">
      <c r="A207" s="16"/>
      <c r="B207" s="24" t="s">
        <v>4</v>
      </c>
      <c r="C207" s="8"/>
      <c r="D207" s="23"/>
      <c r="E207" s="56"/>
      <c r="F207" s="15"/>
      <c r="G207" s="23"/>
      <c r="H207" s="6">
        <f t="shared" si="4"/>
        <v>0</v>
      </c>
      <c r="I207" s="27"/>
    </row>
    <row r="208" spans="1:9" s="57" customFormat="1" ht="16.5">
      <c r="A208" s="16"/>
      <c r="B208" s="36" t="s">
        <v>13</v>
      </c>
      <c r="C208" s="8"/>
      <c r="D208" s="23"/>
      <c r="E208" s="56"/>
      <c r="F208" s="15">
        <v>4217</v>
      </c>
      <c r="G208" s="15">
        <v>2649</v>
      </c>
      <c r="H208" s="6">
        <f t="shared" si="4"/>
        <v>62.8</v>
      </c>
      <c r="I208" s="27"/>
    </row>
    <row r="209" spans="1:9" s="57" customFormat="1" ht="24.75" customHeight="1">
      <c r="A209" s="16" t="s">
        <v>157</v>
      </c>
      <c r="B209" s="31" t="s">
        <v>27</v>
      </c>
      <c r="C209" s="21" t="s">
        <v>26</v>
      </c>
      <c r="D209" s="20"/>
      <c r="E209" s="19"/>
      <c r="F209" s="23">
        <f>F212</f>
        <v>171976.005</v>
      </c>
      <c r="G209" s="23">
        <f>G212</f>
        <v>169166</v>
      </c>
      <c r="H209" s="56">
        <f t="shared" si="3"/>
        <v>98.4</v>
      </c>
      <c r="I209" s="27"/>
    </row>
    <row r="210" spans="1:9" s="57" customFormat="1" ht="33.75" customHeight="1">
      <c r="A210" s="32"/>
      <c r="B210" s="31" t="s">
        <v>149</v>
      </c>
      <c r="C210" s="21" t="s">
        <v>18</v>
      </c>
      <c r="D210" s="20"/>
      <c r="E210" s="19"/>
      <c r="F210" s="23">
        <f aca="true" t="shared" si="5" ref="F210:H211">F211</f>
        <v>171976.005</v>
      </c>
      <c r="G210" s="23">
        <f t="shared" si="5"/>
        <v>169166</v>
      </c>
      <c r="H210" s="56">
        <f t="shared" si="5"/>
        <v>98.4</v>
      </c>
      <c r="I210" s="27"/>
    </row>
    <row r="211" spans="1:9" s="57" customFormat="1" ht="37.5" customHeight="1">
      <c r="A211" s="28"/>
      <c r="B211" s="30" t="s">
        <v>19</v>
      </c>
      <c r="C211" s="23" t="s">
        <v>18</v>
      </c>
      <c r="D211" s="15"/>
      <c r="E211" s="6"/>
      <c r="F211" s="23">
        <f t="shared" si="5"/>
        <v>171976.005</v>
      </c>
      <c r="G211" s="23">
        <f t="shared" si="5"/>
        <v>169166</v>
      </c>
      <c r="H211" s="56">
        <f t="shared" si="5"/>
        <v>98.4</v>
      </c>
      <c r="I211" s="27"/>
    </row>
    <row r="212" spans="1:9" s="57" customFormat="1" ht="50.25" customHeight="1">
      <c r="A212" s="10"/>
      <c r="B212" s="29" t="s">
        <v>25</v>
      </c>
      <c r="C212" s="16" t="s">
        <v>18</v>
      </c>
      <c r="D212" s="23"/>
      <c r="E212" s="56"/>
      <c r="F212" s="23">
        <f>F214+F215</f>
        <v>171976.005</v>
      </c>
      <c r="G212" s="23">
        <f>G214+G215</f>
        <v>169166</v>
      </c>
      <c r="H212" s="56">
        <f t="shared" si="3"/>
        <v>98.4</v>
      </c>
      <c r="I212" s="27"/>
    </row>
    <row r="213" spans="1:9" s="57" customFormat="1" ht="19.5" customHeight="1" hidden="1">
      <c r="A213" s="10"/>
      <c r="B213" s="11" t="s">
        <v>4</v>
      </c>
      <c r="C213" s="16"/>
      <c r="D213" s="23"/>
      <c r="E213" s="56"/>
      <c r="F213" s="23"/>
      <c r="G213" s="23"/>
      <c r="H213" s="6"/>
      <c r="I213" s="27"/>
    </row>
    <row r="214" spans="1:9" s="57" customFormat="1" ht="19.5" customHeight="1" hidden="1">
      <c r="A214" s="10"/>
      <c r="B214" s="11" t="s">
        <v>3</v>
      </c>
      <c r="C214" s="8">
        <v>1105</v>
      </c>
      <c r="D214" s="23"/>
      <c r="E214" s="56"/>
      <c r="F214" s="23">
        <f>F219+F224+F229+F248+F253+F258+F263+F268+F272+F277+F283+F288+F235+F239+F243</f>
        <v>125852.00499999999</v>
      </c>
      <c r="G214" s="23">
        <f>G219+G224+G229+G248+G253+G258+G263+G268+G272+G277+G283+G288+G243+G239</f>
        <v>124408</v>
      </c>
      <c r="H214" s="56">
        <f t="shared" si="3"/>
        <v>98.9</v>
      </c>
      <c r="I214" s="27"/>
    </row>
    <row r="215" spans="1:9" s="57" customFormat="1" ht="19.5" customHeight="1" hidden="1">
      <c r="A215" s="10"/>
      <c r="B215" s="9" t="s">
        <v>2</v>
      </c>
      <c r="C215" s="8">
        <v>1105</v>
      </c>
      <c r="D215" s="23"/>
      <c r="E215" s="56"/>
      <c r="F215" s="23">
        <f>F220+F225+F230+F254+F259+F249+F264+F273+F278+F284+F289+F236+F240+F244</f>
        <v>46124</v>
      </c>
      <c r="G215" s="23">
        <f>G220+G225+G230+G254+G259+G249+G264+G273+G278+G284+G289+G244+G240</f>
        <v>44758</v>
      </c>
      <c r="H215" s="56">
        <f t="shared" si="3"/>
        <v>97</v>
      </c>
      <c r="I215" s="27"/>
    </row>
    <row r="216" spans="1:9" s="57" customFormat="1" ht="37.5" customHeight="1">
      <c r="A216" s="53" t="s">
        <v>148</v>
      </c>
      <c r="B216" s="17" t="s">
        <v>23</v>
      </c>
      <c r="C216" s="16" t="s">
        <v>18</v>
      </c>
      <c r="D216" s="23"/>
      <c r="E216" s="56"/>
      <c r="F216" s="23">
        <f>F218+F219+F220</f>
        <v>42753.99999999999</v>
      </c>
      <c r="G216" s="23">
        <f>G218+G219+G220</f>
        <v>41725</v>
      </c>
      <c r="H216" s="56">
        <f t="shared" si="3"/>
        <v>97.6</v>
      </c>
      <c r="I216" s="36" t="s">
        <v>49</v>
      </c>
    </row>
    <row r="217" spans="1:9" s="57" customFormat="1" ht="15" customHeight="1">
      <c r="A217" s="28"/>
      <c r="B217" s="11" t="s">
        <v>4</v>
      </c>
      <c r="C217" s="8"/>
      <c r="D217" s="15"/>
      <c r="E217" s="6"/>
      <c r="F217" s="15"/>
      <c r="G217" s="15"/>
      <c r="H217" s="6">
        <f t="shared" si="3"/>
        <v>0</v>
      </c>
      <c r="I217" s="27"/>
    </row>
    <row r="218" spans="1:9" s="57" customFormat="1" ht="19.5" customHeight="1" hidden="1">
      <c r="A218" s="28"/>
      <c r="B218" s="24" t="s">
        <v>13</v>
      </c>
      <c r="C218" s="8">
        <v>1103</v>
      </c>
      <c r="D218" s="15"/>
      <c r="E218" s="6"/>
      <c r="F218" s="15"/>
      <c r="G218" s="15"/>
      <c r="H218" s="6">
        <f t="shared" si="3"/>
        <v>0</v>
      </c>
      <c r="I218" s="27"/>
    </row>
    <row r="219" spans="1:9" s="57" customFormat="1" ht="20.25" customHeight="1">
      <c r="A219" s="28"/>
      <c r="B219" s="11" t="s">
        <v>159</v>
      </c>
      <c r="C219" s="8"/>
      <c r="D219" s="15"/>
      <c r="E219" s="6"/>
      <c r="F219" s="15">
        <f>33761.7+421.2+0.1</f>
        <v>34182.99999999999</v>
      </c>
      <c r="G219" s="15">
        <v>33989</v>
      </c>
      <c r="H219" s="6">
        <f t="shared" si="3"/>
        <v>99.4</v>
      </c>
      <c r="I219" s="27"/>
    </row>
    <row r="220" spans="1:9" s="57" customFormat="1" ht="17.25" customHeight="1">
      <c r="A220" s="28"/>
      <c r="B220" s="9" t="s">
        <v>2</v>
      </c>
      <c r="C220" s="8"/>
      <c r="D220" s="15"/>
      <c r="E220" s="6"/>
      <c r="F220" s="15">
        <f>8539+32</f>
        <v>8571</v>
      </c>
      <c r="G220" s="15">
        <v>7736</v>
      </c>
      <c r="H220" s="6">
        <f t="shared" si="3"/>
        <v>90.3</v>
      </c>
      <c r="I220" s="27"/>
    </row>
    <row r="221" spans="1:9" s="57" customFormat="1" ht="35.25" customHeight="1">
      <c r="A221" s="54" t="s">
        <v>150</v>
      </c>
      <c r="B221" s="48" t="s">
        <v>20</v>
      </c>
      <c r="C221" s="23">
        <v>1105</v>
      </c>
      <c r="D221" s="23"/>
      <c r="E221" s="56"/>
      <c r="F221" s="23">
        <f>F223+F224+F225</f>
        <v>4470.005</v>
      </c>
      <c r="G221" s="23">
        <f>G223+G224+G225</f>
        <v>4469</v>
      </c>
      <c r="H221" s="56">
        <f>ROUND(G221*100/F221,1)</f>
        <v>100</v>
      </c>
      <c r="I221" s="36" t="s">
        <v>49</v>
      </c>
    </row>
    <row r="222" spans="1:9" s="57" customFormat="1" ht="17.25" customHeight="1">
      <c r="A222" s="28"/>
      <c r="B222" s="11" t="s">
        <v>4</v>
      </c>
      <c r="C222" s="15"/>
      <c r="D222" s="15"/>
      <c r="E222" s="6"/>
      <c r="F222" s="15"/>
      <c r="G222" s="23"/>
      <c r="H222" s="6"/>
      <c r="I222" s="27"/>
    </row>
    <row r="223" spans="1:9" s="57" customFormat="1" ht="21.75" customHeight="1" hidden="1">
      <c r="A223" s="28"/>
      <c r="B223" s="24" t="s">
        <v>13</v>
      </c>
      <c r="C223" s="8">
        <v>1103</v>
      </c>
      <c r="D223" s="15"/>
      <c r="E223" s="6"/>
      <c r="F223" s="15"/>
      <c r="G223" s="15"/>
      <c r="H223" s="6">
        <f>IF(G223&gt;0,ROUND(G223*100/F223,1),)</f>
        <v>0</v>
      </c>
      <c r="I223" s="27"/>
    </row>
    <row r="224" spans="1:9" s="57" customFormat="1" ht="22.5" customHeight="1">
      <c r="A224" s="28"/>
      <c r="B224" s="11" t="s">
        <v>159</v>
      </c>
      <c r="C224" s="8"/>
      <c r="D224" s="15"/>
      <c r="E224" s="6"/>
      <c r="F224" s="15">
        <f>7064.505-2972+0.5</f>
        <v>4093.005</v>
      </c>
      <c r="G224" s="15">
        <v>4092</v>
      </c>
      <c r="H224" s="6">
        <f>ROUND(G224*100/F224,1)</f>
        <v>100</v>
      </c>
      <c r="I224" s="27"/>
    </row>
    <row r="225" spans="1:9" s="57" customFormat="1" ht="20.25" customHeight="1">
      <c r="A225" s="28"/>
      <c r="B225" s="9" t="s">
        <v>2</v>
      </c>
      <c r="C225" s="8"/>
      <c r="D225" s="15"/>
      <c r="E225" s="6"/>
      <c r="F225" s="15">
        <v>377</v>
      </c>
      <c r="G225" s="15">
        <v>377</v>
      </c>
      <c r="H225" s="6">
        <f>IF(G225&gt;0,ROUND(G225*100/F225,1),)</f>
        <v>100</v>
      </c>
      <c r="I225" s="27"/>
    </row>
    <row r="226" spans="1:9" s="57" customFormat="1" ht="49.5" hidden="1">
      <c r="A226" s="54" t="s">
        <v>42</v>
      </c>
      <c r="B226" s="17" t="s">
        <v>69</v>
      </c>
      <c r="C226" s="23"/>
      <c r="D226" s="23"/>
      <c r="E226" s="56"/>
      <c r="F226" s="23">
        <f>F229+F230</f>
        <v>0</v>
      </c>
      <c r="G226" s="23">
        <f>G229+G230+G231</f>
        <v>0</v>
      </c>
      <c r="H226" s="56"/>
      <c r="I226" s="27"/>
    </row>
    <row r="227" spans="1:9" s="57" customFormat="1" ht="18.75" hidden="1">
      <c r="A227" s="54"/>
      <c r="B227" s="11" t="s">
        <v>4</v>
      </c>
      <c r="C227" s="15"/>
      <c r="D227" s="15"/>
      <c r="E227" s="6"/>
      <c r="F227" s="15"/>
      <c r="G227" s="23"/>
      <c r="H227" s="6"/>
      <c r="I227" s="27"/>
    </row>
    <row r="228" spans="1:9" s="57" customFormat="1" ht="18.75" hidden="1">
      <c r="A228" s="54"/>
      <c r="B228" s="24" t="s">
        <v>13</v>
      </c>
      <c r="C228" s="15"/>
      <c r="D228" s="15"/>
      <c r="E228" s="6"/>
      <c r="F228" s="15"/>
      <c r="G228" s="23"/>
      <c r="H228" s="6" t="e">
        <f>ROUND(G228*100/F228,1)</f>
        <v>#DIV/0!</v>
      </c>
      <c r="I228" s="27"/>
    </row>
    <row r="229" spans="1:9" s="57" customFormat="1" ht="18.75" hidden="1">
      <c r="A229" s="54"/>
      <c r="B229" s="11" t="s">
        <v>3</v>
      </c>
      <c r="C229" s="8" t="s">
        <v>18</v>
      </c>
      <c r="D229" s="15"/>
      <c r="E229" s="6"/>
      <c r="F229" s="15"/>
      <c r="G229" s="15">
        <v>0</v>
      </c>
      <c r="H229" s="6">
        <f>IF(G229&gt;0,ROUND(G229*100/F229,1),)</f>
        <v>0</v>
      </c>
      <c r="I229" s="27"/>
    </row>
    <row r="230" spans="1:9" s="57" customFormat="1" ht="18.75" hidden="1">
      <c r="A230" s="54"/>
      <c r="B230" s="9" t="s">
        <v>2</v>
      </c>
      <c r="C230" s="8">
        <v>1105</v>
      </c>
      <c r="D230" s="15"/>
      <c r="E230" s="6"/>
      <c r="F230" s="15">
        <v>0</v>
      </c>
      <c r="G230" s="15">
        <v>0</v>
      </c>
      <c r="H230" s="6"/>
      <c r="I230" s="27"/>
    </row>
    <row r="231" spans="1:9" s="57" customFormat="1" ht="18.75" hidden="1">
      <c r="A231" s="28"/>
      <c r="B231" s="25"/>
      <c r="C231" s="8">
        <v>1105</v>
      </c>
      <c r="D231" s="15"/>
      <c r="E231" s="6"/>
      <c r="F231" s="15"/>
      <c r="G231" s="15"/>
      <c r="H231" s="26">
        <f>IF(G231&gt;0,ROUND(G231*100/F231,1),)</f>
        <v>0</v>
      </c>
      <c r="I231" s="27"/>
    </row>
    <row r="232" spans="1:9" s="57" customFormat="1" ht="51" customHeight="1" hidden="1">
      <c r="A232" s="54" t="s">
        <v>40</v>
      </c>
      <c r="B232" s="17" t="s">
        <v>98</v>
      </c>
      <c r="C232" s="23"/>
      <c r="D232" s="23"/>
      <c r="E232" s="56"/>
      <c r="F232" s="23">
        <f>F235+F236</f>
        <v>0</v>
      </c>
      <c r="G232" s="23"/>
      <c r="H232" s="18"/>
      <c r="I232" s="27"/>
    </row>
    <row r="233" spans="1:9" s="57" customFormat="1" ht="18.75" hidden="1">
      <c r="A233" s="54"/>
      <c r="B233" s="11" t="s">
        <v>4</v>
      </c>
      <c r="C233" s="15"/>
      <c r="D233" s="15"/>
      <c r="E233" s="6"/>
      <c r="F233" s="15"/>
      <c r="G233" s="15"/>
      <c r="H233" s="26"/>
      <c r="I233" s="27"/>
    </row>
    <row r="234" spans="1:9" s="57" customFormat="1" ht="18.75" hidden="1">
      <c r="A234" s="54"/>
      <c r="B234" s="24" t="s">
        <v>13</v>
      </c>
      <c r="C234" s="15"/>
      <c r="D234" s="15"/>
      <c r="E234" s="6"/>
      <c r="F234" s="15"/>
      <c r="G234" s="15"/>
      <c r="H234" s="26"/>
      <c r="I234" s="27"/>
    </row>
    <row r="235" spans="1:9" s="57" customFormat="1" ht="18.75" hidden="1">
      <c r="A235" s="54"/>
      <c r="B235" s="11" t="s">
        <v>3</v>
      </c>
      <c r="C235" s="8" t="s">
        <v>18</v>
      </c>
      <c r="D235" s="15"/>
      <c r="E235" s="6"/>
      <c r="F235" s="15"/>
      <c r="G235" s="15"/>
      <c r="H235" s="26"/>
      <c r="I235" s="27"/>
    </row>
    <row r="236" spans="1:9" s="57" customFormat="1" ht="18.75" hidden="1">
      <c r="A236" s="54"/>
      <c r="B236" s="9" t="s">
        <v>2</v>
      </c>
      <c r="C236" s="8">
        <v>1105</v>
      </c>
      <c r="D236" s="15"/>
      <c r="E236" s="6"/>
      <c r="F236" s="15"/>
      <c r="G236" s="15"/>
      <c r="H236" s="26"/>
      <c r="I236" s="27"/>
    </row>
    <row r="237" spans="1:9" s="57" customFormat="1" ht="47.25" customHeight="1">
      <c r="A237" s="54" t="s">
        <v>151</v>
      </c>
      <c r="B237" s="17" t="s">
        <v>99</v>
      </c>
      <c r="C237" s="23">
        <v>1105</v>
      </c>
      <c r="D237" s="23"/>
      <c r="E237" s="56"/>
      <c r="F237" s="23">
        <f>F239+F240</f>
        <v>16000</v>
      </c>
      <c r="G237" s="23">
        <f>G239+G240</f>
        <v>16000</v>
      </c>
      <c r="H237" s="56">
        <f>ROUND(G237*100/F237,1)</f>
        <v>100</v>
      </c>
      <c r="I237" s="36" t="s">
        <v>49</v>
      </c>
    </row>
    <row r="238" spans="1:9" s="57" customFormat="1" ht="18.75">
      <c r="A238" s="54"/>
      <c r="B238" s="11" t="s">
        <v>4</v>
      </c>
      <c r="C238" s="15"/>
      <c r="D238" s="15"/>
      <c r="E238" s="6"/>
      <c r="F238" s="15"/>
      <c r="G238" s="15"/>
      <c r="H238" s="26"/>
      <c r="I238" s="27"/>
    </row>
    <row r="239" spans="1:9" s="57" customFormat="1" ht="18.75">
      <c r="A239" s="54"/>
      <c r="B239" s="11" t="s">
        <v>159</v>
      </c>
      <c r="C239" s="8"/>
      <c r="D239" s="15"/>
      <c r="E239" s="6"/>
      <c r="F239" s="15">
        <f>20811.5-9579.5</f>
        <v>11232</v>
      </c>
      <c r="G239" s="15">
        <v>11232</v>
      </c>
      <c r="H239" s="6">
        <f>ROUND(G239*100/F239,1)</f>
        <v>100</v>
      </c>
      <c r="I239" s="27"/>
    </row>
    <row r="240" spans="1:9" s="57" customFormat="1" ht="18.75">
      <c r="A240" s="54"/>
      <c r="B240" s="9" t="s">
        <v>2</v>
      </c>
      <c r="C240" s="8"/>
      <c r="D240" s="15"/>
      <c r="E240" s="6"/>
      <c r="F240" s="15">
        <f>8834.5-4066.5</f>
        <v>4768</v>
      </c>
      <c r="G240" s="15">
        <v>4768</v>
      </c>
      <c r="H240" s="6">
        <f>ROUND(G240*100/F240,1)</f>
        <v>100</v>
      </c>
      <c r="I240" s="27"/>
    </row>
    <row r="241" spans="1:9" s="57" customFormat="1" ht="54" customHeight="1">
      <c r="A241" s="54" t="s">
        <v>152</v>
      </c>
      <c r="B241" s="17" t="s">
        <v>100</v>
      </c>
      <c r="C241" s="23">
        <v>1105</v>
      </c>
      <c r="D241" s="23"/>
      <c r="E241" s="56"/>
      <c r="F241" s="23">
        <f>F243+F244</f>
        <v>49192</v>
      </c>
      <c r="G241" s="23">
        <f>G243+G244</f>
        <v>49192</v>
      </c>
      <c r="H241" s="56">
        <f>ROUND(G241*100/F241,1)</f>
        <v>100</v>
      </c>
      <c r="I241" s="36" t="s">
        <v>49</v>
      </c>
    </row>
    <row r="242" spans="1:9" s="57" customFormat="1" ht="18.75">
      <c r="A242" s="54"/>
      <c r="B242" s="11" t="s">
        <v>4</v>
      </c>
      <c r="C242" s="15"/>
      <c r="D242" s="15"/>
      <c r="E242" s="6"/>
      <c r="F242" s="15"/>
      <c r="G242" s="15"/>
      <c r="H242" s="26"/>
      <c r="I242" s="27"/>
    </row>
    <row r="243" spans="1:9" s="57" customFormat="1" ht="18.75">
      <c r="A243" s="54"/>
      <c r="B243" s="11" t="s">
        <v>159</v>
      </c>
      <c r="C243" s="8"/>
      <c r="D243" s="15"/>
      <c r="E243" s="6"/>
      <c r="F243" s="15">
        <f>34248.4+284.6</f>
        <v>34533</v>
      </c>
      <c r="G243" s="15">
        <v>34533</v>
      </c>
      <c r="H243" s="6">
        <f>ROUND(G243*100/F243,1)</f>
        <v>100</v>
      </c>
      <c r="I243" s="27"/>
    </row>
    <row r="244" spans="1:9" s="57" customFormat="1" ht="18.75">
      <c r="A244" s="54"/>
      <c r="B244" s="9" t="s">
        <v>2</v>
      </c>
      <c r="C244" s="8"/>
      <c r="D244" s="15"/>
      <c r="E244" s="6"/>
      <c r="F244" s="15">
        <f>14538.5+120.8-0.3</f>
        <v>14659</v>
      </c>
      <c r="G244" s="15">
        <v>14659</v>
      </c>
      <c r="H244" s="6">
        <f>ROUND(G244*100/F244,1)</f>
        <v>100</v>
      </c>
      <c r="I244" s="27"/>
    </row>
    <row r="245" spans="1:9" ht="33" customHeight="1">
      <c r="A245" s="55">
        <v>40</v>
      </c>
      <c r="B245" s="17" t="s">
        <v>70</v>
      </c>
      <c r="C245" s="23">
        <v>1105</v>
      </c>
      <c r="D245" s="23"/>
      <c r="E245" s="56"/>
      <c r="F245" s="23">
        <f>F249+F248</f>
        <v>16000</v>
      </c>
      <c r="G245" s="23">
        <f>G249+G248</f>
        <v>16000</v>
      </c>
      <c r="H245" s="56">
        <f>ROUND(G245*100/F245,1)</f>
        <v>100</v>
      </c>
      <c r="I245" s="36" t="s">
        <v>49</v>
      </c>
    </row>
    <row r="246" spans="1:9" ht="16.5">
      <c r="A246" s="7"/>
      <c r="B246" s="11" t="s">
        <v>4</v>
      </c>
      <c r="C246" s="15"/>
      <c r="D246" s="15"/>
      <c r="E246" s="6"/>
      <c r="F246" s="15"/>
      <c r="G246" s="23"/>
      <c r="H246" s="26"/>
      <c r="I246" s="36"/>
    </row>
    <row r="247" spans="1:9" ht="16.5" hidden="1">
      <c r="A247" s="7"/>
      <c r="B247" s="24" t="s">
        <v>13</v>
      </c>
      <c r="C247" s="15"/>
      <c r="D247" s="15"/>
      <c r="E247" s="6"/>
      <c r="F247" s="15"/>
      <c r="G247" s="23"/>
      <c r="H247" s="26" t="e">
        <f>ROUND(G247*100/F247,1)</f>
        <v>#DIV/0!</v>
      </c>
      <c r="I247" s="36"/>
    </row>
    <row r="248" spans="1:9" ht="16.5">
      <c r="A248" s="7"/>
      <c r="B248" s="11" t="s">
        <v>159</v>
      </c>
      <c r="C248" s="8"/>
      <c r="D248" s="15"/>
      <c r="E248" s="6"/>
      <c r="F248" s="15">
        <f>30000-18768</f>
        <v>11232</v>
      </c>
      <c r="G248" s="15">
        <v>11232</v>
      </c>
      <c r="H248" s="6">
        <f>ROUND(G248*100/F248,1)</f>
        <v>100</v>
      </c>
      <c r="I248" s="36"/>
    </row>
    <row r="249" spans="1:9" ht="16.5">
      <c r="A249" s="7"/>
      <c r="B249" s="9" t="s">
        <v>2</v>
      </c>
      <c r="C249" s="8"/>
      <c r="D249" s="15"/>
      <c r="E249" s="6"/>
      <c r="F249" s="15">
        <f>12735.2-4600-3367.2</f>
        <v>4768.000000000001</v>
      </c>
      <c r="G249" s="15">
        <v>4768</v>
      </c>
      <c r="H249" s="6">
        <f>ROUND(G249*100/F249,1)</f>
        <v>100</v>
      </c>
      <c r="I249" s="36"/>
    </row>
    <row r="250" spans="1:9" s="57" customFormat="1" ht="49.5">
      <c r="A250" s="55">
        <v>41</v>
      </c>
      <c r="B250" s="50" t="s">
        <v>114</v>
      </c>
      <c r="C250" s="23">
        <v>1105</v>
      </c>
      <c r="D250" s="23"/>
      <c r="E250" s="56"/>
      <c r="F250" s="23">
        <f>F254+F253</f>
        <v>6222</v>
      </c>
      <c r="G250" s="23">
        <f>G254+G253</f>
        <v>5974</v>
      </c>
      <c r="H250" s="56">
        <f>ROUND(G250*100/F250,1)</f>
        <v>96</v>
      </c>
      <c r="I250" s="36" t="s">
        <v>49</v>
      </c>
    </row>
    <row r="251" spans="1:9" ht="27" customHeight="1">
      <c r="A251" s="7"/>
      <c r="B251" s="11" t="s">
        <v>4</v>
      </c>
      <c r="C251" s="15"/>
      <c r="D251" s="15"/>
      <c r="E251" s="6"/>
      <c r="F251" s="15"/>
      <c r="G251" s="23"/>
      <c r="H251" s="26"/>
      <c r="I251" s="36"/>
    </row>
    <row r="252" spans="1:9" ht="16.5" customHeight="1" hidden="1">
      <c r="A252" s="7"/>
      <c r="B252" s="24" t="s">
        <v>13</v>
      </c>
      <c r="C252" s="15"/>
      <c r="D252" s="15"/>
      <c r="E252" s="6"/>
      <c r="F252" s="15"/>
      <c r="G252" s="23"/>
      <c r="H252" s="26" t="e">
        <f>ROUND(G252*100/F252,1)</f>
        <v>#DIV/0!</v>
      </c>
      <c r="I252" s="36"/>
    </row>
    <row r="253" spans="1:9" ht="18" customHeight="1">
      <c r="A253" s="7"/>
      <c r="B253" s="11" t="s">
        <v>159</v>
      </c>
      <c r="C253" s="8"/>
      <c r="D253" s="15"/>
      <c r="E253" s="6"/>
      <c r="F253" s="15">
        <v>4368</v>
      </c>
      <c r="G253" s="15">
        <v>4194</v>
      </c>
      <c r="H253" s="6">
        <f>ROUND(G253*100/F253,1)</f>
        <v>96</v>
      </c>
      <c r="I253" s="36"/>
    </row>
    <row r="254" spans="1:9" ht="19.5" customHeight="1">
      <c r="A254" s="7"/>
      <c r="B254" s="9" t="s">
        <v>2</v>
      </c>
      <c r="C254" s="8"/>
      <c r="D254" s="15"/>
      <c r="E254" s="6"/>
      <c r="F254" s="15">
        <v>1854</v>
      </c>
      <c r="G254" s="15">
        <v>1780</v>
      </c>
      <c r="H254" s="6">
        <f>ROUND(G254*100/F254,1)</f>
        <v>96</v>
      </c>
      <c r="I254" s="36"/>
    </row>
    <row r="255" spans="1:9" ht="63" customHeight="1">
      <c r="A255" s="55">
        <v>42</v>
      </c>
      <c r="B255" s="50" t="s">
        <v>115</v>
      </c>
      <c r="C255" s="23">
        <v>1105</v>
      </c>
      <c r="D255" s="23"/>
      <c r="E255" s="56"/>
      <c r="F255" s="23">
        <f>F259+F258</f>
        <v>6223</v>
      </c>
      <c r="G255" s="23">
        <f>G259+G258</f>
        <v>6030</v>
      </c>
      <c r="H255" s="56">
        <f>ROUND(G255*100/F255,1)</f>
        <v>96.9</v>
      </c>
      <c r="I255" s="36" t="s">
        <v>49</v>
      </c>
    </row>
    <row r="256" spans="1:9" ht="27" customHeight="1">
      <c r="A256" s="7"/>
      <c r="B256" s="11" t="s">
        <v>4</v>
      </c>
      <c r="C256" s="15"/>
      <c r="D256" s="15"/>
      <c r="E256" s="6"/>
      <c r="F256" s="15"/>
      <c r="G256" s="23"/>
      <c r="H256" s="26"/>
      <c r="I256" s="36"/>
    </row>
    <row r="257" spans="1:9" ht="21" customHeight="1" hidden="1">
      <c r="A257" s="7"/>
      <c r="B257" s="24" t="s">
        <v>13</v>
      </c>
      <c r="C257" s="15"/>
      <c r="D257" s="15"/>
      <c r="E257" s="6"/>
      <c r="F257" s="15"/>
      <c r="G257" s="23"/>
      <c r="H257" s="26" t="e">
        <f>ROUND(G257*100/F257,1)</f>
        <v>#DIV/0!</v>
      </c>
      <c r="I257" s="36"/>
    </row>
    <row r="258" spans="1:9" ht="21" customHeight="1">
      <c r="A258" s="7"/>
      <c r="B258" s="11" t="s">
        <v>159</v>
      </c>
      <c r="C258" s="8"/>
      <c r="D258" s="15"/>
      <c r="E258" s="6"/>
      <c r="F258" s="15">
        <v>4368</v>
      </c>
      <c r="G258" s="15">
        <v>4233</v>
      </c>
      <c r="H258" s="6">
        <f>ROUND(G258*100/F258,1)</f>
        <v>96.9</v>
      </c>
      <c r="I258" s="36"/>
    </row>
    <row r="259" spans="1:9" ht="21" customHeight="1">
      <c r="A259" s="7"/>
      <c r="B259" s="9" t="s">
        <v>2</v>
      </c>
      <c r="C259" s="8"/>
      <c r="D259" s="15"/>
      <c r="E259" s="6"/>
      <c r="F259" s="15">
        <v>1855</v>
      </c>
      <c r="G259" s="15">
        <v>1797</v>
      </c>
      <c r="H259" s="6">
        <f>ROUND(G259*100/F259,1)</f>
        <v>96.9</v>
      </c>
      <c r="I259" s="36"/>
    </row>
    <row r="260" spans="1:9" ht="51" customHeight="1">
      <c r="A260" s="55">
        <v>43</v>
      </c>
      <c r="B260" s="49" t="s">
        <v>71</v>
      </c>
      <c r="C260" s="23">
        <v>1105</v>
      </c>
      <c r="D260" s="23"/>
      <c r="E260" s="56"/>
      <c r="F260" s="23">
        <f>F264+F263</f>
        <v>6223</v>
      </c>
      <c r="G260" s="23">
        <f>G264+G263</f>
        <v>6112</v>
      </c>
      <c r="H260" s="56">
        <f>ROUND(G260*100/F260,1)</f>
        <v>98.2</v>
      </c>
      <c r="I260" s="36" t="s">
        <v>49</v>
      </c>
    </row>
    <row r="261" spans="1:9" ht="18" customHeight="1">
      <c r="A261" s="7"/>
      <c r="B261" s="11" t="s">
        <v>4</v>
      </c>
      <c r="C261" s="15"/>
      <c r="D261" s="15"/>
      <c r="E261" s="6"/>
      <c r="F261" s="15"/>
      <c r="G261" s="15"/>
      <c r="H261" s="26"/>
      <c r="I261" s="36"/>
    </row>
    <row r="262" spans="1:9" ht="19.5" customHeight="1" hidden="1">
      <c r="A262" s="7"/>
      <c r="B262" s="24" t="s">
        <v>13</v>
      </c>
      <c r="C262" s="15"/>
      <c r="D262" s="15"/>
      <c r="E262" s="6"/>
      <c r="F262" s="15"/>
      <c r="G262" s="23"/>
      <c r="H262" s="26" t="e">
        <f>ROUND(G262*100/F262,1)</f>
        <v>#DIV/0!</v>
      </c>
      <c r="I262" s="36"/>
    </row>
    <row r="263" spans="1:9" ht="22.5" customHeight="1">
      <c r="A263" s="7"/>
      <c r="B263" s="11" t="s">
        <v>159</v>
      </c>
      <c r="C263" s="8"/>
      <c r="D263" s="15"/>
      <c r="E263" s="6"/>
      <c r="F263" s="15">
        <v>4369</v>
      </c>
      <c r="G263" s="15">
        <v>4291</v>
      </c>
      <c r="H263" s="6">
        <f>ROUND(G263*100/F263,1)</f>
        <v>98.2</v>
      </c>
      <c r="I263" s="36"/>
    </row>
    <row r="264" spans="1:9" ht="21.75" customHeight="1">
      <c r="A264" s="7"/>
      <c r="B264" s="9" t="s">
        <v>2</v>
      </c>
      <c r="C264" s="8"/>
      <c r="D264" s="15"/>
      <c r="E264" s="6"/>
      <c r="F264" s="15">
        <v>1854</v>
      </c>
      <c r="G264" s="15">
        <v>1821</v>
      </c>
      <c r="H264" s="6">
        <f>ROUND(G264*100/F264,1)</f>
        <v>98.2</v>
      </c>
      <c r="I264" s="36"/>
    </row>
    <row r="265" spans="1:9" ht="58.5" customHeight="1" hidden="1">
      <c r="A265" s="7">
        <v>18</v>
      </c>
      <c r="B265" s="45" t="s">
        <v>72</v>
      </c>
      <c r="C265" s="15"/>
      <c r="D265" s="15"/>
      <c r="E265" s="6"/>
      <c r="F265" s="15">
        <f>F269+F268</f>
        <v>0</v>
      </c>
      <c r="G265" s="15">
        <f>G268+G269+G270</f>
        <v>5681</v>
      </c>
      <c r="H265" s="26" t="e">
        <f>ROUND(G265*100/F265,1)</f>
        <v>#DIV/0!</v>
      </c>
      <c r="I265" s="36"/>
    </row>
    <row r="266" spans="1:9" ht="24.75" customHeight="1" hidden="1">
      <c r="A266" s="7"/>
      <c r="B266" s="11" t="s">
        <v>4</v>
      </c>
      <c r="C266" s="15"/>
      <c r="D266" s="15"/>
      <c r="E266" s="6"/>
      <c r="F266" s="15"/>
      <c r="G266" s="23"/>
      <c r="H266" s="26"/>
      <c r="I266" s="36"/>
    </row>
    <row r="267" spans="1:9" ht="23.25" customHeight="1" hidden="1">
      <c r="A267" s="7"/>
      <c r="B267" s="24" t="s">
        <v>13</v>
      </c>
      <c r="C267" s="15"/>
      <c r="D267" s="15"/>
      <c r="E267" s="6"/>
      <c r="F267" s="15"/>
      <c r="G267" s="23"/>
      <c r="H267" s="26" t="e">
        <f>ROUND(G267*100/F267,1)</f>
        <v>#DIV/0!</v>
      </c>
      <c r="I267" s="36"/>
    </row>
    <row r="268" spans="1:9" ht="19.5" customHeight="1" hidden="1">
      <c r="A268" s="7"/>
      <c r="B268" s="11" t="s">
        <v>3</v>
      </c>
      <c r="C268" s="8" t="s">
        <v>18</v>
      </c>
      <c r="D268" s="15"/>
      <c r="E268" s="6"/>
      <c r="F268" s="15"/>
      <c r="G268" s="15"/>
      <c r="H268" s="26">
        <f>IF(G268&gt;0,ROUND(G268*100/F268,1),)</f>
        <v>0</v>
      </c>
      <c r="I268" s="36"/>
    </row>
    <row r="269" spans="1:9" ht="24.75" customHeight="1" hidden="1">
      <c r="A269" s="7"/>
      <c r="B269" s="9" t="s">
        <v>2</v>
      </c>
      <c r="C269" s="8">
        <v>1105</v>
      </c>
      <c r="D269" s="15"/>
      <c r="E269" s="6"/>
      <c r="F269" s="15"/>
      <c r="G269" s="15"/>
      <c r="H269" s="26" t="e">
        <f>ROUND(G269*100/F269,1)</f>
        <v>#DIV/0!</v>
      </c>
      <c r="I269" s="36"/>
    </row>
    <row r="270" spans="1:9" ht="49.5" customHeight="1">
      <c r="A270" s="55">
        <v>44</v>
      </c>
      <c r="B270" s="51" t="s">
        <v>110</v>
      </c>
      <c r="C270" s="23">
        <v>1105</v>
      </c>
      <c r="D270" s="23"/>
      <c r="E270" s="56"/>
      <c r="F270" s="23">
        <f>SUM(F272)+F273</f>
        <v>6223</v>
      </c>
      <c r="G270" s="23">
        <f>SUM(G272)+G273</f>
        <v>5681</v>
      </c>
      <c r="H270" s="56">
        <f>ROUND(G270*100/F270,1)</f>
        <v>91.3</v>
      </c>
      <c r="I270" s="36" t="s">
        <v>49</v>
      </c>
    </row>
    <row r="271" spans="1:9" ht="27" customHeight="1">
      <c r="A271" s="7"/>
      <c r="B271" s="11" t="s">
        <v>4</v>
      </c>
      <c r="C271" s="15"/>
      <c r="D271" s="15"/>
      <c r="E271" s="6"/>
      <c r="F271" s="15"/>
      <c r="G271" s="23"/>
      <c r="H271" s="26"/>
      <c r="I271" s="36"/>
    </row>
    <row r="272" spans="1:9" ht="24" customHeight="1">
      <c r="A272" s="7"/>
      <c r="B272" s="11" t="s">
        <v>159</v>
      </c>
      <c r="C272" s="8"/>
      <c r="D272" s="15"/>
      <c r="E272" s="6"/>
      <c r="F272" s="15">
        <v>4368</v>
      </c>
      <c r="G272" s="15">
        <v>3988</v>
      </c>
      <c r="H272" s="6">
        <f>ROUND(G272*100/F272,1)</f>
        <v>91.3</v>
      </c>
      <c r="I272" s="36"/>
    </row>
    <row r="273" spans="1:9" ht="24" customHeight="1">
      <c r="A273" s="7"/>
      <c r="B273" s="9" t="s">
        <v>2</v>
      </c>
      <c r="C273" s="8"/>
      <c r="D273" s="15"/>
      <c r="E273" s="6"/>
      <c r="F273" s="15">
        <v>1855</v>
      </c>
      <c r="G273" s="15">
        <v>1693</v>
      </c>
      <c r="H273" s="6">
        <f>ROUND(G273*100/F273,1)</f>
        <v>91.3</v>
      </c>
      <c r="I273" s="36"/>
    </row>
    <row r="274" spans="1:9" s="43" customFormat="1" ht="49.5">
      <c r="A274" s="53" t="s">
        <v>153</v>
      </c>
      <c r="B274" s="51" t="s">
        <v>73</v>
      </c>
      <c r="C274" s="23">
        <v>1105</v>
      </c>
      <c r="D274" s="23"/>
      <c r="E274" s="56"/>
      <c r="F274" s="23">
        <f>F278+F277</f>
        <v>6223</v>
      </c>
      <c r="G274" s="23">
        <f>G278+G277</f>
        <v>5971</v>
      </c>
      <c r="H274" s="56">
        <f>ROUND(G274*100/F274,1)</f>
        <v>96</v>
      </c>
      <c r="I274" s="36" t="s">
        <v>49</v>
      </c>
    </row>
    <row r="275" spans="1:9" s="43" customFormat="1" ht="18.75">
      <c r="A275" s="10"/>
      <c r="B275" s="11" t="s">
        <v>4</v>
      </c>
      <c r="C275" s="15"/>
      <c r="D275" s="15"/>
      <c r="E275" s="6"/>
      <c r="F275" s="15"/>
      <c r="G275" s="23"/>
      <c r="H275" s="26"/>
      <c r="I275" s="6"/>
    </row>
    <row r="276" spans="1:9" s="43" customFormat="1" ht="18.75" hidden="1">
      <c r="A276" s="10"/>
      <c r="B276" s="24" t="s">
        <v>13</v>
      </c>
      <c r="C276" s="15"/>
      <c r="D276" s="15"/>
      <c r="E276" s="6"/>
      <c r="F276" s="15"/>
      <c r="G276" s="23"/>
      <c r="H276" s="26" t="e">
        <f>ROUND(G276*100/F276,1)</f>
        <v>#DIV/0!</v>
      </c>
      <c r="I276" s="6"/>
    </row>
    <row r="277" spans="1:9" s="43" customFormat="1" ht="18.75">
      <c r="A277" s="10"/>
      <c r="B277" s="11" t="s">
        <v>159</v>
      </c>
      <c r="C277" s="8"/>
      <c r="D277" s="15"/>
      <c r="E277" s="6"/>
      <c r="F277" s="15">
        <v>4369</v>
      </c>
      <c r="G277" s="15">
        <v>4192</v>
      </c>
      <c r="H277" s="6">
        <f>ROUND(G277*100/F277,1)</f>
        <v>95.9</v>
      </c>
      <c r="I277" s="6"/>
    </row>
    <row r="278" spans="1:9" s="43" customFormat="1" ht="18.75">
      <c r="A278" s="10"/>
      <c r="B278" s="9" t="s">
        <v>2</v>
      </c>
      <c r="C278" s="8"/>
      <c r="D278" s="15"/>
      <c r="E278" s="6"/>
      <c r="F278" s="15">
        <v>1854</v>
      </c>
      <c r="G278" s="15">
        <v>1779</v>
      </c>
      <c r="H278" s="6">
        <f>ROUND(G278*100/F278,1)</f>
        <v>96</v>
      </c>
      <c r="I278" s="6"/>
    </row>
    <row r="279" spans="1:9" s="43" customFormat="1" ht="49.5">
      <c r="A279" s="53" t="s">
        <v>154</v>
      </c>
      <c r="B279" s="51" t="s">
        <v>74</v>
      </c>
      <c r="C279" s="23">
        <v>1105</v>
      </c>
      <c r="D279" s="23"/>
      <c r="E279" s="56"/>
      <c r="F279" s="23">
        <f>F283+F284</f>
        <v>6223</v>
      </c>
      <c r="G279" s="23">
        <f>G283+G284</f>
        <v>6026</v>
      </c>
      <c r="H279" s="56">
        <f>ROUND(G279*100/F279,1)</f>
        <v>96.8</v>
      </c>
      <c r="I279" s="36" t="s">
        <v>49</v>
      </c>
    </row>
    <row r="280" spans="1:9" s="43" customFormat="1" ht="18.75">
      <c r="A280" s="10"/>
      <c r="B280" s="11" t="s">
        <v>4</v>
      </c>
      <c r="C280" s="15"/>
      <c r="D280" s="15"/>
      <c r="E280" s="6"/>
      <c r="F280" s="15"/>
      <c r="G280" s="23"/>
      <c r="H280" s="26"/>
      <c r="I280" s="6"/>
    </row>
    <row r="281" spans="1:9" s="43" customFormat="1" ht="18.75" hidden="1">
      <c r="A281" s="10"/>
      <c r="B281" s="11"/>
      <c r="C281" s="15"/>
      <c r="D281" s="15"/>
      <c r="E281" s="6"/>
      <c r="F281" s="15"/>
      <c r="G281" s="23"/>
      <c r="H281" s="26"/>
      <c r="I281" s="6"/>
    </row>
    <row r="282" spans="1:9" s="43" customFormat="1" ht="18.75" hidden="1">
      <c r="A282" s="10"/>
      <c r="B282" s="24" t="s">
        <v>13</v>
      </c>
      <c r="C282" s="15"/>
      <c r="D282" s="15"/>
      <c r="E282" s="6"/>
      <c r="F282" s="15"/>
      <c r="G282" s="23"/>
      <c r="H282" s="26" t="e">
        <f>ROUND(G282*100/F282,1)</f>
        <v>#DIV/0!</v>
      </c>
      <c r="I282" s="6"/>
    </row>
    <row r="283" spans="1:9" s="43" customFormat="1" ht="18.75">
      <c r="A283" s="10"/>
      <c r="B283" s="11" t="s">
        <v>159</v>
      </c>
      <c r="C283" s="8"/>
      <c r="D283" s="15"/>
      <c r="E283" s="6"/>
      <c r="F283" s="15">
        <v>4368</v>
      </c>
      <c r="G283" s="15">
        <v>4230</v>
      </c>
      <c r="H283" s="6">
        <f>ROUND(G283*100/F283,1)</f>
        <v>96.8</v>
      </c>
      <c r="I283" s="6"/>
    </row>
    <row r="284" spans="1:9" s="43" customFormat="1" ht="18.75">
      <c r="A284" s="10"/>
      <c r="B284" s="9" t="s">
        <v>2</v>
      </c>
      <c r="C284" s="8"/>
      <c r="D284" s="15"/>
      <c r="E284" s="6"/>
      <c r="F284" s="15">
        <v>1855</v>
      </c>
      <c r="G284" s="15">
        <v>1796</v>
      </c>
      <c r="H284" s="6">
        <f>ROUND(G284*100/F284,1)</f>
        <v>96.8</v>
      </c>
      <c r="I284" s="6"/>
    </row>
    <row r="285" spans="1:9" s="43" customFormat="1" ht="49.5">
      <c r="A285" s="53" t="s">
        <v>155</v>
      </c>
      <c r="B285" s="51" t="s">
        <v>75</v>
      </c>
      <c r="C285" s="23">
        <v>1105</v>
      </c>
      <c r="D285" s="23"/>
      <c r="E285" s="56"/>
      <c r="F285" s="23">
        <f>F288+F289</f>
        <v>6223</v>
      </c>
      <c r="G285" s="23">
        <f>G288+G289+G290</f>
        <v>5986</v>
      </c>
      <c r="H285" s="56">
        <f>ROUND(G285*100/F285,1)</f>
        <v>96.2</v>
      </c>
      <c r="I285" s="36" t="s">
        <v>49</v>
      </c>
    </row>
    <row r="286" spans="1:9" s="43" customFormat="1" ht="18.75">
      <c r="A286" s="10"/>
      <c r="B286" s="11" t="s">
        <v>4</v>
      </c>
      <c r="C286" s="15"/>
      <c r="D286" s="15"/>
      <c r="E286" s="6"/>
      <c r="F286" s="15"/>
      <c r="G286" s="23"/>
      <c r="H286" s="26"/>
      <c r="I286" s="6"/>
    </row>
    <row r="287" spans="1:9" s="43" customFormat="1" ht="18.75" hidden="1">
      <c r="A287" s="10"/>
      <c r="B287" s="24" t="s">
        <v>13</v>
      </c>
      <c r="C287" s="15"/>
      <c r="D287" s="15"/>
      <c r="E287" s="6"/>
      <c r="F287" s="15"/>
      <c r="G287" s="23"/>
      <c r="H287" s="26" t="e">
        <f>ROUND(G287*100/F287,1)</f>
        <v>#DIV/0!</v>
      </c>
      <c r="I287" s="6"/>
    </row>
    <row r="288" spans="1:9" s="43" customFormat="1" ht="18.75">
      <c r="A288" s="10"/>
      <c r="B288" s="11" t="s">
        <v>159</v>
      </c>
      <c r="C288" s="8"/>
      <c r="D288" s="15"/>
      <c r="E288" s="6"/>
      <c r="F288" s="15">
        <v>4369</v>
      </c>
      <c r="G288" s="15">
        <v>4202</v>
      </c>
      <c r="H288" s="6">
        <f>ROUND(G288*100/F288,1)</f>
        <v>96.2</v>
      </c>
      <c r="I288" s="6"/>
    </row>
    <row r="289" spans="1:9" s="43" customFormat="1" ht="18.75">
      <c r="A289" s="10"/>
      <c r="B289" s="9" t="s">
        <v>2</v>
      </c>
      <c r="C289" s="8"/>
      <c r="D289" s="15"/>
      <c r="E289" s="6"/>
      <c r="F289" s="15">
        <v>1854</v>
      </c>
      <c r="G289" s="15">
        <v>1784</v>
      </c>
      <c r="H289" s="6">
        <f>ROUND(G289*100/F289,1)</f>
        <v>96.2</v>
      </c>
      <c r="I289" s="6"/>
    </row>
    <row r="290" spans="1:8" s="43" customFormat="1" ht="9" customHeight="1">
      <c r="A290" s="4"/>
      <c r="B290" s="1"/>
      <c r="C290" s="1"/>
      <c r="D290" s="3"/>
      <c r="E290" s="3"/>
      <c r="F290" s="3"/>
      <c r="G290" s="3"/>
      <c r="H290" s="3"/>
    </row>
    <row r="291" spans="1:8" s="43" customFormat="1" ht="69.75" customHeight="1">
      <c r="A291" s="4"/>
      <c r="B291" s="1"/>
      <c r="C291" s="1"/>
      <c r="D291" s="3"/>
      <c r="E291" s="3"/>
      <c r="H291" s="3"/>
    </row>
    <row r="292" spans="1:9" s="43" customFormat="1" ht="19.5" customHeight="1">
      <c r="A292" s="4"/>
      <c r="B292" s="69" t="s">
        <v>165</v>
      </c>
      <c r="C292" s="1"/>
      <c r="D292" s="3"/>
      <c r="E292" s="3"/>
      <c r="G292" s="69"/>
      <c r="H292" s="73" t="s">
        <v>168</v>
      </c>
      <c r="I292" s="73"/>
    </row>
    <row r="293" spans="1:9" s="43" customFormat="1" ht="19.5" customHeight="1" hidden="1">
      <c r="A293" s="79" t="s">
        <v>1</v>
      </c>
      <c r="B293" s="80"/>
      <c r="C293" s="52"/>
      <c r="D293" s="5"/>
      <c r="E293" s="5"/>
      <c r="F293" s="61"/>
      <c r="G293" s="69" t="s">
        <v>0</v>
      </c>
      <c r="H293" s="69"/>
      <c r="I293" s="69"/>
    </row>
    <row r="294" spans="1:9" s="68" customFormat="1" ht="19.5" customHeight="1">
      <c r="A294" s="83" t="s">
        <v>166</v>
      </c>
      <c r="B294" s="84"/>
      <c r="C294" s="65"/>
      <c r="D294" s="66"/>
      <c r="E294" s="66"/>
      <c r="F294" s="67"/>
      <c r="G294" s="69"/>
      <c r="H294" s="69"/>
      <c r="I294" s="69" t="s">
        <v>163</v>
      </c>
    </row>
    <row r="295" spans="1:9" s="68" customFormat="1" ht="51.75" customHeight="1">
      <c r="A295" s="83" t="s">
        <v>169</v>
      </c>
      <c r="B295" s="85"/>
      <c r="C295" s="65"/>
      <c r="D295" s="66"/>
      <c r="E295" s="66"/>
      <c r="F295" s="67"/>
      <c r="G295" s="69"/>
      <c r="H295" s="69"/>
      <c r="I295" s="70" t="s">
        <v>167</v>
      </c>
    </row>
  </sheetData>
  <sheetProtection/>
  <mergeCells count="19">
    <mergeCell ref="A295:B295"/>
    <mergeCell ref="A293:B293"/>
    <mergeCell ref="I11:I12"/>
    <mergeCell ref="A10:I10"/>
    <mergeCell ref="A294:B294"/>
    <mergeCell ref="D2:I2"/>
    <mergeCell ref="A7:I7"/>
    <mergeCell ref="A11:A12"/>
    <mergeCell ref="B11:B12"/>
    <mergeCell ref="C11:C12"/>
    <mergeCell ref="D11:D12"/>
    <mergeCell ref="E11:E12"/>
    <mergeCell ref="F11:F12"/>
    <mergeCell ref="G11:G12"/>
    <mergeCell ref="H11:H12"/>
    <mergeCell ref="H3:I3"/>
    <mergeCell ref="H4:I4"/>
    <mergeCell ref="H5:I5"/>
    <mergeCell ref="H292:I292"/>
  </mergeCells>
  <printOptions horizontalCentered="1"/>
  <pageMargins left="0.5905511811023623" right="0.3937007874015748" top="0.5905511811023623" bottom="0.5905511811023623" header="0.15748031496062992" footer="0.15748031496062992"/>
  <pageSetup blackAndWhite="1" fitToHeight="3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Филиппова Эмма Анатольевна</dc:creator>
  <cp:keywords/>
  <dc:description/>
  <cp:lastModifiedBy>Пользователь</cp:lastModifiedBy>
  <cp:lastPrinted>2019-05-21T11:05:12Z</cp:lastPrinted>
  <dcterms:created xsi:type="dcterms:W3CDTF">2018-01-12T13:24:58Z</dcterms:created>
  <dcterms:modified xsi:type="dcterms:W3CDTF">2019-06-26T12:21:17Z</dcterms:modified>
  <cp:category/>
  <cp:version/>
  <cp:contentType/>
  <cp:contentStatus/>
</cp:coreProperties>
</file>