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320" windowHeight="6480" activeTab="0"/>
  </bookViews>
  <sheets>
    <sheet name="ГАИП 2019" sheetId="1" r:id="rId1"/>
  </sheets>
  <definedNames>
    <definedName name="_xlnm.Print_Titles" localSheetId="0">'ГАИП 2019'!$16:$17</definedName>
    <definedName name="_xlnm.Print_Area" localSheetId="0">'ГАИП 2019'!$A$4:$G$359</definedName>
  </definedNames>
  <calcPr fullCalcOnLoad="1" refMode="R1C1"/>
</workbook>
</file>

<file path=xl/sharedStrings.xml><?xml version="1.0" encoding="utf-8"?>
<sst xmlns="http://schemas.openxmlformats.org/spreadsheetml/2006/main" count="758" uniqueCount="219">
  <si>
    <t>ВСЕГО</t>
  </si>
  <si>
    <t>Главный распорядитель бюджетных средств</t>
  </si>
  <si>
    <t>тыс. рублей</t>
  </si>
  <si>
    <t xml:space="preserve"> № п/п</t>
  </si>
  <si>
    <t>Наименование объекта</t>
  </si>
  <si>
    <t>Социальная политика</t>
  </si>
  <si>
    <t>Раздел, подраздел</t>
  </si>
  <si>
    <t xml:space="preserve">Управление жилищных отношений </t>
  </si>
  <si>
    <t>В.Ф. Ходырев</t>
  </si>
  <si>
    <t>1003</t>
  </si>
  <si>
    <t>I.</t>
  </si>
  <si>
    <r>
      <t xml:space="preserve"> </t>
    </r>
    <r>
      <rPr>
        <b/>
        <sz val="13"/>
        <rFont val="Times New Roman"/>
        <family val="1"/>
      </rPr>
      <t>Муниципальная программа городского округа город Воронеж "Обеспечение доступным и комфортным жильём населения городского округа город Воронеж"</t>
    </r>
    <r>
      <rPr>
        <sz val="13"/>
        <rFont val="Times New Roman"/>
        <family val="1"/>
      </rPr>
      <t xml:space="preserve">                                                   </t>
    </r>
  </si>
  <si>
    <t xml:space="preserve">Муниципальная программа городского округа город Воронеж "Обеспечение доступным и комфортным жильём населения городского округа город Воронеж"                                                                                              </t>
  </si>
  <si>
    <t>1000</t>
  </si>
  <si>
    <t xml:space="preserve"> Образование </t>
  </si>
  <si>
    <t>Муниципальная программа городского округа город Воронеж "Развитие образования"</t>
  </si>
  <si>
    <t>Подпрограмма "Развитие общего и дополнительного образования"</t>
  </si>
  <si>
    <t>0709</t>
  </si>
  <si>
    <t>II.</t>
  </si>
  <si>
    <t>Управление строительной политики</t>
  </si>
  <si>
    <t>в том числе за счет средств:</t>
  </si>
  <si>
    <t>федерального бюджета</t>
  </si>
  <si>
    <t>областного бюджета</t>
  </si>
  <si>
    <t>бюджета городского округа</t>
  </si>
  <si>
    <t>0700</t>
  </si>
  <si>
    <t>1</t>
  </si>
  <si>
    <t>2</t>
  </si>
  <si>
    <t>3</t>
  </si>
  <si>
    <t>Социальное обеспечение населения</t>
  </si>
  <si>
    <t>к решению Воронежской</t>
  </si>
  <si>
    <t>городской Думы</t>
  </si>
  <si>
    <t xml:space="preserve"> Другие вопросы в области образования</t>
  </si>
  <si>
    <t>Основное мероприятие "Обеспечение жилыми помещениями граждан, уволенных с военной службы (службы) и приравненных к ним лиц"</t>
  </si>
  <si>
    <t>Отклонение</t>
  </si>
  <si>
    <t>4</t>
  </si>
  <si>
    <t>5</t>
  </si>
  <si>
    <t xml:space="preserve">Жилищно-коммунальное хозяйство                </t>
  </si>
  <si>
    <t>0500</t>
  </si>
  <si>
    <t>0501</t>
  </si>
  <si>
    <t xml:space="preserve">  Подпрограмма "Переселение граждан из аварийного жилищного фонда"</t>
  </si>
  <si>
    <t xml:space="preserve"> 2. Другие вопросы в области жилищно-коммунального хозяйства</t>
  </si>
  <si>
    <t>0505</t>
  </si>
  <si>
    <t xml:space="preserve">Муниципальная программа "Обеспечение коммунальными услугами населения городского округа город Воронеж"                         </t>
  </si>
  <si>
    <t>Подпрограмма «Чистая вода»</t>
  </si>
  <si>
    <t>IV.</t>
  </si>
  <si>
    <t xml:space="preserve">Физическая культура и спорт </t>
  </si>
  <si>
    <t>Другие вопросы в области физической культуры и спорта</t>
  </si>
  <si>
    <t>1105</t>
  </si>
  <si>
    <t>Муниципальная  программа  городского округа город Воронеж "Развитие физической культуры и спорта"</t>
  </si>
  <si>
    <t xml:space="preserve">Реконструкция тренировочной площадки на стадионе "Чайка"  г. Воронеж ул. Краснознаменная, д. 101 </t>
  </si>
  <si>
    <t xml:space="preserve">Реконструкция тренировочной площадки на стадионе "Локомотив"  г. Воронеж ул. Нариманова, д. 2 </t>
  </si>
  <si>
    <t xml:space="preserve"> Средства федерального бюджета и бюджета Воронежской области</t>
  </si>
  <si>
    <t>Подпрограмма "Молодой семье – доступное жильё"</t>
  </si>
  <si>
    <t xml:space="preserve">2. Благоустройство
</t>
  </si>
  <si>
    <t>0503</t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</si>
  <si>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мкр. Подклетное, ул. Арбатская, 38, МБОУ СОШ №25 (включая ПИР)</t>
    </r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</si>
  <si>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 ул. Плехановская, 39, МБОУ СОШ № 35 (включая ПИР)</t>
    </r>
  </si>
  <si>
    <t>Физкультурно-оздоровительный комплекс открытого типа, ул. Краснознаменная, 74, МБОУ СОШ № 40 (включая ПИР)</t>
  </si>
  <si>
    <t>Физкультурно-оздоровительный комплекс открытого типа, ул. Юлюса Янониса, 6, МБОУ СОШ № 73 им А.Ф. Чернонога (включая ПИР)</t>
  </si>
  <si>
    <t>Физкультурно-оздоровительный комплекс открытого типа, ул. Переверткина, 16, МБОУ СОШ № 68 (включая ПИР)</t>
  </si>
  <si>
    <t>Физкультурно-оздоровительный комплекс открытого типа, ул. Черепанова, 18, МБОУ СОШ № 91 (включая ПИР)</t>
  </si>
  <si>
    <t>Физкультурно-оздоровительный комплекс открытого типа, ул. Генерала Лизюкова, 81, лицей №1(включая ПИР)</t>
  </si>
  <si>
    <t>Основное мероприятие «Строительство, реконструкция и капитальный ремонт объектов коммунальной инфраструктуры»</t>
  </si>
  <si>
    <t>0412</t>
  </si>
  <si>
    <t>Другие вопросы в области национальной экономики</t>
  </si>
  <si>
    <t>Национальная экономика</t>
  </si>
  <si>
    <t>Приобретение в муниципальную собственность объекта «Детский сад на 220 мест по адресу: Воронежская область, городской округ город Воронеж, город Воронеж, массив Олимпийский, д. 15»</t>
  </si>
  <si>
    <t>Детский сад на 280 мест по ул. Артамонова в г. Воронеже (включая ПИР)</t>
  </si>
  <si>
    <t>Детский сад на 280 мест в мкр. «Боровое»                              г. Воронежа (включая ПИР)</t>
  </si>
  <si>
    <t>Детский сад на 220 мест по ул. Дмитрия Горина, 63 в  г. Воронеж (включая ПИР)</t>
  </si>
  <si>
    <t>Муниципальная программа городского округа город Воронеж "Развитие дошкольного образования"</t>
  </si>
  <si>
    <t>Физкультурно-оздоровительный комплекс на территории МБОУ гимназия № 7 им. Воронцова В.М., ул. Ростовская, 36 (включая ПИР)</t>
  </si>
  <si>
    <t>Спортивный зал на территории СОШ № 75 по адресу: г. Воронеж, ул. Ю. Янониса, 4 (включая ПИР)</t>
  </si>
  <si>
    <t>Муниципальная программа городского округа город Воронеж «Развитие культуры»</t>
  </si>
  <si>
    <t>0801</t>
  </si>
  <si>
    <t>"Приложение № 14 к решению Воронежской городской Думы от 20.12.2017  №  736-IV       
"О бюджете городского округа город Воронеж на 2018 год и на плановый период 2019 и 2020 годов"</t>
  </si>
  <si>
    <t>Приложение № 8</t>
  </si>
  <si>
    <t xml:space="preserve">от                 № </t>
  </si>
  <si>
    <t>III.</t>
  </si>
  <si>
    <t>15</t>
  </si>
  <si>
    <t>20</t>
  </si>
  <si>
    <t>V.</t>
  </si>
  <si>
    <t>22</t>
  </si>
  <si>
    <t>23</t>
  </si>
  <si>
    <t>27</t>
  </si>
  <si>
    <t>28</t>
  </si>
  <si>
    <t>29</t>
  </si>
  <si>
    <t>30</t>
  </si>
  <si>
    <t>31</t>
  </si>
  <si>
    <t>32</t>
  </si>
  <si>
    <t>33</t>
  </si>
  <si>
    <t>34</t>
  </si>
  <si>
    <t>0400</t>
  </si>
  <si>
    <t>Управление имущественных и земельных отношений</t>
  </si>
  <si>
    <t>Детский сад на 150 мест в мкр. «Малышево»  г. Воронежа (включая ПИР)</t>
  </si>
  <si>
    <t>Канализование частного сектора квартала "Песчанка" Левый берег в г. Воронеже (ПИР)</t>
  </si>
  <si>
    <t>Детский сад на 150 мест в мкр. «Малышево»   г. Воронежа (включая ПИР)</t>
  </si>
  <si>
    <t>Пристройка спортивного зала к зданию МБОУ СОШ № 24 по адресу: ул. Генерала Лохматикова, 43</t>
  </si>
  <si>
    <t>Пристройка спортивного зала к зданию МБОУ СОШ № 24 по адресу: ул. Генерала Лохматикова, 43 (включая ПИР)</t>
  </si>
  <si>
    <t>Спортивный зал на территории СОШ №23, ул. Димитрова, 81(включая ПИР)</t>
  </si>
  <si>
    <t>ГОРОДСКАЯ АДРЕСНАЯ ИНВЕСТИЦИОННАЯ ПРОГРАММА НА 2019 ГОД</t>
  </si>
  <si>
    <t>Охрана окружающей среды</t>
  </si>
  <si>
    <t>0600</t>
  </si>
  <si>
    <t>0605</t>
  </si>
  <si>
    <t>Другие вопросы в области охраны окружающей среды</t>
  </si>
  <si>
    <t>Муниципальная программа городского округа город Воронеж «Охрана окружающей среды»</t>
  </si>
  <si>
    <t>Основное мероприятие «Сохранение и развитие зелёного фонда городского округа»</t>
  </si>
  <si>
    <t xml:space="preserve">План 
2019  год (долгоср контракты) </t>
  </si>
  <si>
    <t xml:space="preserve">План 
2019  год (предложения ГРБС) </t>
  </si>
  <si>
    <t xml:space="preserve">Благоустройство парка "Орленок", ул. Чайковского, 8 </t>
  </si>
  <si>
    <t>Благоустройство мемориального комплекса "Площадь Победы" в городе Воронеже</t>
  </si>
  <si>
    <t>Благоустройство проспекта Революции, город Воронеж</t>
  </si>
  <si>
    <t>Приобретение в муниципальную собственность объекта «Детский сад на 100 мест по ул. 9 Января, 243»</t>
  </si>
  <si>
    <t>Приобретение в муниципальную собственность объекта «Детский сад на 100 мест по ул. 9 Января, 68»</t>
  </si>
  <si>
    <t>План 
2019  год  (предполагаемое изменение обл)</t>
  </si>
  <si>
    <t>от предполагаемых лимитов</t>
  </si>
  <si>
    <t xml:space="preserve">План 
2019  год  </t>
  </si>
  <si>
    <t xml:space="preserve">1. Жилищное хозяйство                </t>
  </si>
  <si>
    <t>Благоустройство парка "Южный" , ул. Новосибирская, 5В</t>
  </si>
  <si>
    <t>Подпрограмма "Развитие дошкольного образования"</t>
  </si>
  <si>
    <t>Комплексное освоение в целях жилищного строительства микрорайона по ул. Ильюшина, 13 в г. Воронеже. Общеобразовательная школа на 1224 места (поз.59) (включая ПИР)</t>
  </si>
  <si>
    <t>Образование</t>
  </si>
  <si>
    <t>Основное мероприятие  "Обеспечение жильем молодых семей"</t>
  </si>
  <si>
    <t>План 
2019  год  утвержденный</t>
  </si>
  <si>
    <t xml:space="preserve">Основное мероприятие «Благоустройство общественных территорий» </t>
  </si>
  <si>
    <t>Мероприятия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</si>
  <si>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</si>
  <si>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пристройки к  функционирующему детскому саду МБДОУ «Детский сад № 69», г. Воронеж, ул. Попова, д. 2 (включая ПИР)</t>
  </si>
  <si>
    <t>Строительство пристройки к  функционирующему детскому саду МБДОУ «Детский сад общеразвивающего вида № 185», г. Воронеж, ул. 45 Стрелковой Дивизии, д. 281 (включая ПИР)</t>
  </si>
  <si>
    <t>Строительство пристройки к  функционирующему детскому саду МБДОУ «Центр развития ребенка - детский сад № 73», г. Воронеж, ул. Ульяновская, д. 31 (включая ПИР)</t>
  </si>
  <si>
    <t>Строительство пристройки к  функционирующему детскому саду МБДОУ «Детский сад общеразвивающего вида № 142», г. Воронеж, ул. Глинки, д. 11 (включая ПИР)</t>
  </si>
  <si>
    <t>Строительство пристройки к функционирующему детскому саду МБДОУ «Детский сад комбинированного вида № 167», г. Воронеж, ул. Теплоэнергетиков, д. 21 (включая ПИР)</t>
  </si>
  <si>
    <t>Строительство пристройки  к функционирующему детскому саду МБДОУ «Детский сад  № 119», г. Воронеж, ул. Тепличная, д. 18 (включая ПИР)</t>
  </si>
  <si>
    <t>Строительство детского сада на 300 мест в мкр. Шилово г.о.г. Воронеж (включая ПИР)</t>
  </si>
  <si>
    <t>Региональный проект «Жилье»</t>
  </si>
  <si>
    <t>Реконструкция тренировочной площадки на стадионе «Локомотив», г. Воронеж, ул. Нариманова, д. 2 (включая ПИР)</t>
  </si>
  <si>
    <t>Реконструкция тренировочной площадки на стадионе «Чайка», г. Воронеж, ул. Краснознаменная, д. 101. Искусственное покрытие (включая ПИР)</t>
  </si>
  <si>
    <t>Реконструкция футбольного поля МБУДО СДЮСШОР № 15, ул. Ростовская, 38а (включая ПИР)</t>
  </si>
  <si>
    <t>Физкультурно-оздоровительный комплекс открытого типа на территории МБОУ гимназия № 2, г. Воронеж, Московский проспект, 121 (включая ПИР)</t>
  </si>
  <si>
    <t>Региональный проект «Спорт - норма жизни»</t>
  </si>
  <si>
    <t>35</t>
  </si>
  <si>
    <t>Региональный проект "Жилище"</t>
  </si>
  <si>
    <t>"Массовый спорт"</t>
  </si>
  <si>
    <t>3087,193 остатки не берем из МБ</t>
  </si>
  <si>
    <t>Пристройка к МБОУ лицей № 4  по ул. Генерала Лизюкова, 87 (включая ПИР)</t>
  </si>
  <si>
    <t>Пристройка к МОУ СОШ № 77  по пер. Звездный,2 (Масловка) (включая ПИР)</t>
  </si>
  <si>
    <t>Проектирование и строительство здания клуба "Краснолесье" в мкр. Краснолесный г. Воронеж</t>
  </si>
  <si>
    <t>36</t>
  </si>
  <si>
    <t>37</t>
  </si>
  <si>
    <t>38</t>
  </si>
  <si>
    <t>Пристройка к МБОУ СОШ № 84 в г. Воронеже по ул. Тепличная, 20б</t>
  </si>
  <si>
    <t>Пристройка к МБОУ СОШ № 46 по ул. Дм. Горина, 61 (Подгорное), г. Воронеж (включая ПИР)</t>
  </si>
  <si>
    <t xml:space="preserve">Детский сад на 280 мест по адресу: Российская Федерация, Воронежская обл, городской округ город Воронеж, Воронеж г, Козо-Полянского ул, 7 д.  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</si>
  <si>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</si>
  <si>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Строительство  пристройки к функционирующему детскому саду МБДОУ «Центр развития ребенка-детский сад  № 138», г. Воронеж, ул.Лизюкова, 41 (включая ПИР)</t>
  </si>
  <si>
    <t>Строительство пристройки к МБОУ гимназия УВК № 1 структурное подразделение детский сад, г. Воронеж, ул. Беговая, д. 164 (включая ПИР)</t>
  </si>
  <si>
    <t>1004</t>
  </si>
  <si>
    <t>Охрана семьи и детства</t>
  </si>
  <si>
    <t>Строительство блочно-модульной котельной, предназначенной для переключения потребителей домов по ул. Землячки, 43, 31а, 33, 33а, 33б, 35а, 37, 37а в г. Воронеже)</t>
  </si>
  <si>
    <t>Строительство блочно-модульной котельной для переключения потребителей многоквартирного дома по ул. Дружинников, 26 в г. Воронеже</t>
  </si>
  <si>
    <t>Управление жилищно-коммунального хозяйства</t>
  </si>
  <si>
    <t>Ликвидация подвальной котельной  по ул. Карла Маркса, 61 (переключение на существующие сети теплоснабжения жилого дома по ул. К. Маркса, 61)</t>
  </si>
  <si>
    <t>Ликвидация подвальной котельной  по ул. Таранченко, 29 (переключение на существующие сети теплоснабжения 2-х жилых домов по ул. Таранченко, 29, пер. Бауманский, 39)</t>
  </si>
  <si>
    <t>Ликвидация подвальной котельной  по ул. Таранченко, 42 (переключение на существующие сети теплоснабжения учреждения здравоохранения по ул. Таранченко, 42)</t>
  </si>
  <si>
    <t>Ликвидация подвальной котельной по ул. Карла Маркса, 38 (строительство тепловых сетей и переключение на них потребителей)</t>
  </si>
  <si>
    <t>Ликвидации подвальной котельной по ул. Володарского, 37а (строительство тепловых сетей и переключение на них потребителей)</t>
  </si>
  <si>
    <t>Ликвидация подвальных котельных по ул. Средне-Московская, 14/21, ул. Фридриха Энгельса, 50, ул. Карла Маркса, 61 (строительство тепловых сетей и переключение на них 5-х жилых домов по ул. Средне-Московская, 14, ул. Фридриха Энгельса, 50, ул. Никитинская, 19, 21, ул. Карла Маркса, 61, а также 3-х административных зданий по ул. Средне-Московская, 12, ул. Фридриха Энгельса, 48, ул. Никитинская, 19а)</t>
  </si>
  <si>
    <t>Ликвидации подвальной котельной по ул. Никитинская, 5 (строительство тепловых сетей и переключение на них потребителей)</t>
  </si>
  <si>
    <t>Ликвидация подвальной котельной по ул. Кольцовская, 6 (строительство тепловых сетей и переключение на них потребителей)</t>
  </si>
  <si>
    <t>Ликвидация подвальной котельной по ул. Феоктистова, 4 (строительство тепловых сетей и переключение на них потребителей)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</si>
  <si>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</si>
  <si>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</si>
  <si>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</si>
  <si>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</si>
  <si>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</si>
  <si>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</si>
  <si>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</si>
  <si>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</si>
  <si>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</si>
  <si>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</si>
  <si>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</si>
  <si>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</si>
  <si>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</si>
  <si>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</si>
  <si>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</si>
  <si>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</si>
  <si>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</si>
  <si>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</si>
  <si>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</si>
  <si>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</si>
  <si>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</si>
  <si>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Физкультурно-оздоровительный комплекс открытого типа по адресу: г. Воронеж, Ленинский проспект, 115а, МБОУ лицей № 6  (включая ПИР)</t>
  </si>
  <si>
    <t>в том числе за счет средств областного бюджета:</t>
  </si>
  <si>
    <t>VI.</t>
  </si>
  <si>
    <t>"Приложение № 14 к решению Воронежской городской Думы от   19.12.2018 № 1027-IV       
"О бюджете городского округа город Воронеж на 2019 год и на плановый период 2020 и 2021 годов"</t>
  </si>
  <si>
    <t>Физкультурно-оздоровительный комплекс открытого типа по адресу: г. Воронеж, пер. Туркменский, 14а  МБОУ СОШ № 50 (включая ПИР)</t>
  </si>
  <si>
    <t>Культура</t>
  </si>
  <si>
    <t>Ликвидация подвальных котельных по ул. Кольцовская, 36 и ул. Кольцовская, 17 (строительство блочно-модульной котельной и переключение на нее 8-ми жилых домов по ул. Революции 1905 года, 3, ул. Кольцовская, 17, 34, 36, ул. Комиссаржевская, 12, 16, 18, ул. Студенческая, 30, а также 2-х административных зданий по ул. Комиссаржевская, 14а, 18а)</t>
  </si>
  <si>
    <t>Ликвидация подвальных котельных по ул. Революции 1905 года, 8 и ул. Кольцовская, 30 (строительство блочно-модульной котельной и переключение на нее 6-ти жилых домов по ул. Революции 1905 года, 1, 4, 8,  ул. Кольцовская, 30, 30а, пер. Мельничный, 1)</t>
  </si>
  <si>
    <t xml:space="preserve">Муниципальная программа "Формирование современной городской среды на территории городского округа город Воронеж на 2018-2022 годы"                      </t>
  </si>
  <si>
    <t>Реконструкция Центрального парка культуры и отдыха в г. Воронеже (2 очередь)</t>
  </si>
  <si>
    <t>Детский сад на 150 мест в гмкр. «Подклетное», ул.Красочная,1 в г. Воронеже (включая ПИР)</t>
  </si>
  <si>
    <t>Детский сад на 310 мест по ул. Шишкова в г. Воронеже (включая ПИР)</t>
  </si>
  <si>
    <t>Общеобразовательная школа на 1101 место по адресу: г. Воронеж, жилой массив Олимпийский, 14</t>
  </si>
  <si>
    <t>Образовательная школа на 1224 места по ул. Артамонова в г. Воронеж</t>
  </si>
  <si>
    <t>г. Воронеж. Средняя школа на 1101 место по ул. Ф. Тютчева, 6</t>
  </si>
  <si>
    <t xml:space="preserve"> Мероприятия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</si>
  <si>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</si>
  <si>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Общеобразовательная школа на 1101 место по адресу: г. Воронеж, жилой массив Олимпийский, 14 (включая ПИР)</t>
  </si>
  <si>
    <t>Общеобразовательная школа на 1224 места по ул. Артамонова в г. Воронеж (включая ПИР)</t>
  </si>
  <si>
    <t>г. Воронеж. Средняя школа на 1101 место по ул. Ф. Тютчева, 6 (включая ПИР)</t>
  </si>
  <si>
    <t>Спортивный зал на территории СОШ №23, ул. Димитрова, 81 (включая ПИР)</t>
  </si>
  <si>
    <t xml:space="preserve">Основное мероприятие 
"Строительство и реконструкция физкультурно-спортивных сооружений на территории городского округа город Воронеж"
</t>
  </si>
  <si>
    <t>от 27.03.2019 № 1079-IV</t>
  </si>
  <si>
    <t xml:space="preserve">                                            В.Ю. Кстенин</t>
  </si>
  <si>
    <t xml:space="preserve">                  Председатель Воронежской
                  городской Думы</t>
  </si>
  <si>
    <t xml:space="preserve">                          В.Ф. Ходырев</t>
  </si>
  <si>
    <t>".</t>
  </si>
  <si>
    <t xml:space="preserve">                                     Глава городского округа
                                     город Воронеж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</si>
</sst>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[Red]\-#,##0.0\ "/>
    <numFmt numFmtId="175" formatCode="#,##0_ ;[Red]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_-* #,##0_р_._-;\-* #,##0_р_._-;_-* &quot;-&quot;??_р_._-;_-@_-"/>
    <numFmt numFmtId="182" formatCode="_-* #,##0.0_р_._-;\-* #,##0.0_р_._-;_-* &quot;-&quot;?_р_._-;_-@_-"/>
    <numFmt numFmtId="183" formatCode="_-* #,##0_р_._-;\-* #,##0_р_._-;_-* &quot;-&quot;?_р_._-;_-@_-"/>
    <numFmt numFmtId="184" formatCode="_-* #,##0.0_р_._-;\-* #,##0.0_р_._-;_-* &quot;-&quot;??_р_._-;_-@_-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#,##0.0000000"/>
    <numFmt numFmtId="191" formatCode="_-* #,##0.000_р_._-;\-* #,##0.000_р_._-;_-* &quot;-&quot;??_р_._-;_-@_-"/>
    <numFmt numFmtId="192" formatCode="0.0000"/>
    <numFmt numFmtId="193" formatCode="0.00000"/>
    <numFmt numFmtId="194" formatCode="0.000000"/>
    <numFmt numFmtId="195" formatCode="0.0000000"/>
    <numFmt numFmtId="196" formatCode="#\ ##0.00"/>
    <numFmt numFmtId="197" formatCode="#,##0.00_ ;[Red]\-#,##0.00\ "/>
    <numFmt numFmtId="198" formatCode="#,##0.00000_ ;[Red]\-#,##0.00000\ "/>
    <numFmt numFmtId="199" formatCode="#,##0.000_ ;[Red]\-#,##0.000\ "/>
  </numFmts>
  <fonts count="2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9"/>
      <color indexed="8"/>
      <name val="Arial Narrow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7" fillId="0" borderId="0">
      <alignment horizontal="left" vertical="center"/>
      <protection/>
    </xf>
    <xf numFmtId="0" fontId="27" fillId="0" borderId="0">
      <alignment horizontal="right"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172" fontId="1" fillId="24" borderId="0" xfId="0" applyNumberFormat="1" applyFont="1" applyFill="1" applyAlignment="1">
      <alignment horizontal="center" vertical="center" wrapText="1"/>
    </xf>
    <xf numFmtId="49" fontId="1" fillId="24" borderId="0" xfId="0" applyNumberFormat="1" applyFont="1" applyFill="1" applyBorder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49" fontId="25" fillId="24" borderId="0" xfId="0" applyNumberFormat="1" applyFont="1" applyFill="1" applyBorder="1" applyAlignment="1">
      <alignment vertical="top" wrapText="1"/>
    </xf>
    <xf numFmtId="4" fontId="1" fillId="24" borderId="0" xfId="0" applyNumberFormat="1" applyFont="1" applyFill="1" applyBorder="1" applyAlignment="1">
      <alignment vertical="top" wrapText="1"/>
    </xf>
    <xf numFmtId="49" fontId="1" fillId="24" borderId="0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4" fontId="25" fillId="24" borderId="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 applyProtection="1">
      <alignment horizontal="center" vertical="top" wrapText="1"/>
      <protection/>
    </xf>
    <xf numFmtId="172" fontId="1" fillId="24" borderId="10" xfId="0" applyNumberFormat="1" applyFont="1" applyFill="1" applyBorder="1" applyAlignment="1">
      <alignment horizontal="center" vertical="top" wrapText="1"/>
    </xf>
    <xf numFmtId="4" fontId="22" fillId="24" borderId="10" xfId="0" applyNumberFormat="1" applyFont="1" applyFill="1" applyBorder="1" applyAlignment="1">
      <alignment horizontal="center" vertical="top" wrapText="1"/>
    </xf>
    <xf numFmtId="3" fontId="22" fillId="24" borderId="10" xfId="0" applyNumberFormat="1" applyFont="1" applyFill="1" applyBorder="1" applyAlignment="1">
      <alignment horizontal="center" vertical="top" wrapText="1"/>
    </xf>
    <xf numFmtId="188" fontId="22" fillId="24" borderId="10" xfId="0" applyNumberFormat="1" applyFont="1" applyFill="1" applyBorder="1" applyAlignment="1">
      <alignment horizontal="center" vertical="top" wrapText="1"/>
    </xf>
    <xf numFmtId="0" fontId="23" fillId="24" borderId="10" xfId="0" applyNumberFormat="1" applyFont="1" applyFill="1" applyBorder="1" applyAlignment="1" applyProtection="1">
      <alignment horizontal="center" vertical="top" wrapText="1"/>
      <protection/>
    </xf>
    <xf numFmtId="185" fontId="22" fillId="24" borderId="10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center" vertical="top" wrapText="1"/>
    </xf>
    <xf numFmtId="3" fontId="25" fillId="24" borderId="10" xfId="0" applyNumberFormat="1" applyFont="1" applyFill="1" applyBorder="1" applyAlignment="1">
      <alignment horizontal="center" vertical="top" wrapText="1"/>
    </xf>
    <xf numFmtId="172" fontId="25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3" fontId="22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25" fillId="24" borderId="11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172" fontId="25" fillId="24" borderId="11" xfId="0" applyNumberFormat="1" applyFont="1" applyFill="1" applyBorder="1" applyAlignment="1">
      <alignment horizontal="center" vertical="top" wrapText="1"/>
    </xf>
    <xf numFmtId="172" fontId="22" fillId="24" borderId="11" xfId="0" applyNumberFormat="1" applyFont="1" applyFill="1" applyBorder="1" applyAlignment="1">
      <alignment horizontal="center" vertical="top" wrapText="1"/>
    </xf>
    <xf numFmtId="4" fontId="22" fillId="24" borderId="11" xfId="0" applyNumberFormat="1" applyFont="1" applyFill="1" applyBorder="1" applyAlignment="1">
      <alignment horizontal="center" vertical="top" wrapText="1"/>
    </xf>
    <xf numFmtId="172" fontId="2" fillId="24" borderId="0" xfId="0" applyNumberFormat="1" applyFont="1" applyFill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left" vertical="top" wrapText="1"/>
    </xf>
    <xf numFmtId="185" fontId="25" fillId="24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3" fontId="22" fillId="4" borderId="10" xfId="0" applyNumberFormat="1" applyFont="1" applyFill="1" applyBorder="1" applyAlignment="1">
      <alignment horizontal="center" vertical="top" wrapText="1"/>
    </xf>
    <xf numFmtId="172" fontId="22" fillId="4" borderId="10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4" fontId="25" fillId="4" borderId="10" xfId="0" applyNumberFormat="1" applyFont="1" applyFill="1" applyBorder="1" applyAlignment="1">
      <alignment horizontal="center" vertical="top" wrapText="1"/>
    </xf>
    <xf numFmtId="3" fontId="25" fillId="4" borderId="10" xfId="0" applyNumberFormat="1" applyFont="1" applyFill="1" applyBorder="1" applyAlignment="1">
      <alignment horizontal="center" vertical="top" wrapText="1"/>
    </xf>
    <xf numFmtId="172" fontId="25" fillId="4" borderId="10" xfId="0" applyNumberFormat="1" applyFont="1" applyFill="1" applyBorder="1" applyAlignment="1">
      <alignment horizontal="center" vertical="top" wrapText="1"/>
    </xf>
    <xf numFmtId="188" fontId="22" fillId="4" borderId="10" xfId="0" applyNumberFormat="1" applyFont="1" applyFill="1" applyBorder="1" applyAlignment="1">
      <alignment horizontal="center" vertical="top" wrapText="1"/>
    </xf>
    <xf numFmtId="188" fontId="25" fillId="4" borderId="10" xfId="0" applyNumberFormat="1" applyFont="1" applyFill="1" applyBorder="1" applyAlignment="1">
      <alignment horizontal="center" vertical="top" wrapText="1"/>
    </xf>
    <xf numFmtId="3" fontId="23" fillId="4" borderId="10" xfId="0" applyNumberFormat="1" applyFont="1" applyFill="1" applyBorder="1" applyAlignment="1" applyProtection="1">
      <alignment horizontal="center" vertical="top" wrapText="1"/>
      <protection/>
    </xf>
    <xf numFmtId="0" fontId="23" fillId="4" borderId="10" xfId="0" applyFont="1" applyFill="1" applyBorder="1" applyAlignment="1">
      <alignment horizontal="center" vertical="top" wrapText="1"/>
    </xf>
    <xf numFmtId="172" fontId="1" fillId="24" borderId="0" xfId="0" applyNumberFormat="1" applyFont="1" applyFill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center" vertical="top" wrapText="1"/>
    </xf>
    <xf numFmtId="185" fontId="25" fillId="4" borderId="10" xfId="0" applyNumberFormat="1" applyFont="1" applyFill="1" applyBorder="1" applyAlignment="1">
      <alignment horizontal="center" vertical="top" wrapText="1"/>
    </xf>
    <xf numFmtId="185" fontId="22" fillId="4" borderId="10" xfId="0" applyNumberFormat="1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 horizontal="left" vertical="top" wrapText="1"/>
    </xf>
    <xf numFmtId="0" fontId="1" fillId="4" borderId="10" xfId="0" applyNumberFormat="1" applyFont="1" applyFill="1" applyBorder="1" applyAlignment="1">
      <alignment horizontal="left" vertical="top" wrapText="1"/>
    </xf>
    <xf numFmtId="49" fontId="1" fillId="24" borderId="0" xfId="0" applyNumberFormat="1" applyFont="1" applyFill="1" applyAlignment="1">
      <alignment horizontal="center" vertical="top" wrapText="1"/>
    </xf>
    <xf numFmtId="4" fontId="25" fillId="24" borderId="0" xfId="0" applyNumberFormat="1" applyFont="1" applyFill="1" applyAlignment="1">
      <alignment horizontal="center" vertical="top" wrapText="1"/>
    </xf>
    <xf numFmtId="3" fontId="25" fillId="24" borderId="0" xfId="0" applyNumberFormat="1" applyFont="1" applyFill="1" applyAlignment="1">
      <alignment horizontal="center" vertical="top" wrapText="1"/>
    </xf>
    <xf numFmtId="3" fontId="1" fillId="24" borderId="0" xfId="0" applyNumberFormat="1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3" fontId="1" fillId="24" borderId="0" xfId="0" applyNumberFormat="1" applyFont="1" applyFill="1" applyAlignment="1">
      <alignment horizontal="left" vertical="top" wrapText="1"/>
    </xf>
    <xf numFmtId="49" fontId="2" fillId="24" borderId="0" xfId="0" applyNumberFormat="1" applyFont="1" applyFill="1" applyBorder="1" applyAlignment="1">
      <alignment horizontal="center" vertical="top" wrapText="1"/>
    </xf>
    <xf numFmtId="172" fontId="1" fillId="24" borderId="0" xfId="0" applyNumberFormat="1" applyFont="1" applyFill="1" applyBorder="1" applyAlignment="1">
      <alignment horizontal="center" vertical="top" wrapText="1"/>
    </xf>
    <xf numFmtId="188" fontId="2" fillId="24" borderId="0" xfId="0" applyNumberFormat="1" applyFont="1" applyFill="1" applyBorder="1" applyAlignment="1">
      <alignment horizontal="center" vertical="top" wrapText="1"/>
    </xf>
    <xf numFmtId="185" fontId="1" fillId="24" borderId="0" xfId="0" applyNumberFormat="1" applyFont="1" applyFill="1" applyBorder="1" applyAlignment="1">
      <alignment horizontal="center" vertical="top" wrapText="1"/>
    </xf>
    <xf numFmtId="185" fontId="25" fillId="24" borderId="0" xfId="0" applyNumberFormat="1" applyFont="1" applyFill="1" applyBorder="1" applyAlignment="1">
      <alignment horizontal="center" vertical="top" wrapText="1"/>
    </xf>
    <xf numFmtId="4" fontId="1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 applyProtection="1">
      <alignment horizontal="center" vertical="top" wrapText="1"/>
      <protection/>
    </xf>
    <xf numFmtId="188" fontId="22" fillId="24" borderId="10" xfId="0" applyNumberFormat="1" applyFont="1" applyFill="1" applyBorder="1" applyAlignment="1">
      <alignment horizontal="center" vertical="top" wrapText="1"/>
    </xf>
    <xf numFmtId="188" fontId="25" fillId="24" borderId="10" xfId="0" applyNumberFormat="1" applyFont="1" applyFill="1" applyBorder="1" applyAlignment="1">
      <alignment horizontal="center" vertical="top" wrapText="1"/>
    </xf>
    <xf numFmtId="3" fontId="23" fillId="24" borderId="10" xfId="0" applyNumberFormat="1" applyFont="1" applyFill="1" applyBorder="1" applyAlignment="1" applyProtection="1">
      <alignment horizontal="center" vertical="top" wrapText="1"/>
      <protection/>
    </xf>
    <xf numFmtId="0" fontId="23" fillId="24" borderId="10" xfId="0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3" fontId="26" fillId="24" borderId="10" xfId="0" applyNumberFormat="1" applyFont="1" applyFill="1" applyBorder="1" applyAlignment="1" applyProtection="1">
      <alignment horizontal="center" vertical="top" wrapText="1"/>
      <protection/>
    </xf>
    <xf numFmtId="0" fontId="26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185" fontId="22" fillId="24" borderId="10" xfId="0" applyNumberFormat="1" applyFont="1" applyFill="1" applyBorder="1" applyAlignment="1">
      <alignment horizontal="center" vertical="top" wrapText="1"/>
    </xf>
    <xf numFmtId="172" fontId="1" fillId="24" borderId="0" xfId="0" applyNumberFormat="1" applyFont="1" applyFill="1" applyBorder="1" applyAlignment="1">
      <alignment vertical="top" wrapText="1"/>
    </xf>
    <xf numFmtId="172" fontId="25" fillId="24" borderId="0" xfId="0" applyNumberFormat="1" applyFont="1" applyFill="1" applyBorder="1" applyAlignment="1">
      <alignment horizontal="center" vertical="top" wrapText="1"/>
    </xf>
    <xf numFmtId="172" fontId="25" fillId="24" borderId="0" xfId="0" applyNumberFormat="1" applyFont="1" applyFill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 applyProtection="1">
      <alignment horizontal="center" vertical="top" wrapText="1"/>
      <protection/>
    </xf>
    <xf numFmtId="49" fontId="22" fillId="4" borderId="10" xfId="0" applyNumberFormat="1" applyFont="1" applyFill="1" applyBorder="1" applyAlignment="1">
      <alignment horizontal="center" vertical="top" wrapText="1"/>
    </xf>
    <xf numFmtId="0" fontId="1" fillId="24" borderId="10" xfId="57" applyFont="1" applyFill="1" applyBorder="1" applyAlignment="1">
      <alignment vertical="top" wrapText="1"/>
      <protection/>
    </xf>
    <xf numFmtId="0" fontId="1" fillId="24" borderId="10" xfId="0" applyNumberFormat="1" applyFont="1" applyFill="1" applyBorder="1" applyAlignment="1" applyProtection="1">
      <alignment horizontal="center" vertical="top" wrapText="1"/>
      <protection/>
    </xf>
    <xf numFmtId="172" fontId="1" fillId="24" borderId="10" xfId="0" applyNumberFormat="1" applyFont="1" applyFill="1" applyBorder="1" applyAlignment="1">
      <alignment horizontal="center" vertical="top" wrapText="1"/>
    </xf>
    <xf numFmtId="172" fontId="25" fillId="24" borderId="11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187" fontId="22" fillId="24" borderId="10" xfId="0" applyNumberFormat="1" applyFont="1" applyFill="1" applyBorder="1" applyAlignment="1">
      <alignment horizontal="center" vertical="top" wrapText="1"/>
    </xf>
    <xf numFmtId="187" fontId="25" fillId="24" borderId="10" xfId="0" applyNumberFormat="1" applyFont="1" applyFill="1" applyBorder="1" applyAlignment="1">
      <alignment horizontal="center" vertical="top" wrapText="1"/>
    </xf>
    <xf numFmtId="172" fontId="1" fillId="24" borderId="0" xfId="0" applyNumberFormat="1" applyFont="1" applyFill="1" applyAlignment="1">
      <alignment horizontal="center" vertical="top" wrapText="1"/>
    </xf>
    <xf numFmtId="49" fontId="22" fillId="24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187" fontId="1" fillId="24" borderId="0" xfId="0" applyNumberFormat="1" applyFont="1" applyFill="1" applyAlignment="1">
      <alignment horizontal="center" vertical="top" wrapText="1"/>
    </xf>
    <xf numFmtId="188" fontId="1" fillId="24" borderId="0" xfId="0" applyNumberFormat="1" applyFont="1" applyFill="1" applyAlignment="1">
      <alignment horizontal="center" vertical="top" wrapText="1"/>
    </xf>
    <xf numFmtId="3" fontId="25" fillId="24" borderId="0" xfId="0" applyNumberFormat="1" applyFont="1" applyFill="1" applyAlignment="1">
      <alignment horizontal="right" vertical="top" wrapText="1"/>
    </xf>
    <xf numFmtId="0" fontId="2" fillId="24" borderId="0" xfId="0" applyFont="1" applyFill="1" applyAlignment="1">
      <alignment horizontal="left" vertical="top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4" fontId="2" fillId="24" borderId="10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top" wrapText="1"/>
    </xf>
    <xf numFmtId="49" fontId="2" fillId="24" borderId="0" xfId="0" applyNumberFormat="1" applyFont="1" applyFill="1" applyAlignment="1">
      <alignment horizontal="left" vertical="top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S7" xfId="34"/>
    <cellStyle name="S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0"/>
  <sheetViews>
    <sheetView tabSelected="1" view="pageBreakPreview" zoomScale="75" zoomScaleSheetLayoutView="75" zoomScalePageLayoutView="0" workbookViewId="0" topLeftCell="A29">
      <selection activeCell="E31" sqref="E31"/>
    </sheetView>
  </sheetViews>
  <sheetFormatPr defaultColWidth="9.00390625" defaultRowHeight="12.75"/>
  <cols>
    <col min="1" max="1" width="7.375" style="63" customWidth="1"/>
    <col min="2" max="2" width="47.625" style="6" customWidth="1"/>
    <col min="3" max="3" width="14.375" style="6" customWidth="1"/>
    <col min="4" max="4" width="26.375" style="89" hidden="1" customWidth="1"/>
    <col min="5" max="5" width="26.625" style="89" customWidth="1"/>
    <col min="6" max="6" width="26.625" style="89" hidden="1" customWidth="1"/>
    <col min="7" max="7" width="24.00390625" style="65" customWidth="1"/>
    <col min="8" max="9" width="21.875" style="64" hidden="1" customWidth="1"/>
    <col min="10" max="11" width="21.875" style="65" hidden="1" customWidth="1"/>
    <col min="12" max="12" width="12.875" style="6" hidden="1" customWidth="1"/>
    <col min="13" max="13" width="13.375" style="6" hidden="1" customWidth="1"/>
    <col min="14" max="14" width="11.75390625" style="6" hidden="1" customWidth="1"/>
    <col min="15" max="15" width="9.125" style="6" customWidth="1"/>
    <col min="16" max="16" width="18.375" style="6" customWidth="1"/>
    <col min="17" max="17" width="21.00390625" style="6" customWidth="1"/>
    <col min="18" max="18" width="13.375" style="6" bestFit="1" customWidth="1"/>
    <col min="19" max="16384" width="9.125" style="6" customWidth="1"/>
  </cols>
  <sheetData>
    <row r="1" spans="1:14" ht="22.5" customHeight="1" hidden="1">
      <c r="A1" s="4"/>
      <c r="B1" s="4"/>
      <c r="C1" s="4"/>
      <c r="D1" s="87"/>
      <c r="E1" s="115" t="s">
        <v>76</v>
      </c>
      <c r="F1" s="115"/>
      <c r="G1" s="119"/>
      <c r="H1" s="119"/>
      <c r="I1" s="119"/>
      <c r="J1" s="119"/>
      <c r="K1" s="119"/>
      <c r="L1" s="119"/>
      <c r="M1" s="119"/>
      <c r="N1" s="119"/>
    </row>
    <row r="2" spans="1:14" ht="20.25" customHeight="1" hidden="1">
      <c r="A2" s="4"/>
      <c r="B2" s="4"/>
      <c r="C2" s="4"/>
      <c r="D2" s="87"/>
      <c r="E2" s="115" t="s">
        <v>29</v>
      </c>
      <c r="F2" s="115"/>
      <c r="G2" s="119"/>
      <c r="H2" s="119"/>
      <c r="I2" s="119"/>
      <c r="J2" s="119"/>
      <c r="K2" s="119"/>
      <c r="L2" s="119"/>
      <c r="M2" s="119"/>
      <c r="N2" s="119"/>
    </row>
    <row r="3" spans="1:14" ht="20.25" customHeight="1" hidden="1">
      <c r="A3" s="4"/>
      <c r="B3" s="4"/>
      <c r="C3" s="4"/>
      <c r="D3" s="87"/>
      <c r="E3" s="115" t="s">
        <v>30</v>
      </c>
      <c r="F3" s="115"/>
      <c r="G3" s="119"/>
      <c r="H3" s="119"/>
      <c r="I3" s="119"/>
      <c r="J3" s="119"/>
      <c r="K3" s="119"/>
      <c r="L3" s="119"/>
      <c r="M3" s="119"/>
      <c r="N3" s="119"/>
    </row>
    <row r="4" spans="1:14" ht="22.5" customHeight="1" hidden="1">
      <c r="A4" s="4"/>
      <c r="B4" s="4"/>
      <c r="C4" s="4"/>
      <c r="D4" s="87"/>
      <c r="E4" s="115" t="s">
        <v>77</v>
      </c>
      <c r="F4" s="115"/>
      <c r="G4" s="119"/>
      <c r="H4" s="119"/>
      <c r="I4" s="119"/>
      <c r="J4" s="119"/>
      <c r="K4" s="119"/>
      <c r="L4" s="119"/>
      <c r="M4" s="119"/>
      <c r="N4" s="119"/>
    </row>
    <row r="5" spans="1:14" ht="3" customHeight="1" hidden="1">
      <c r="A5" s="4"/>
      <c r="B5" s="4"/>
      <c r="C5" s="4"/>
      <c r="D5" s="87"/>
      <c r="E5" s="87"/>
      <c r="F5" s="87"/>
      <c r="G5" s="4"/>
      <c r="H5" s="4"/>
      <c r="I5" s="4"/>
      <c r="J5" s="7"/>
      <c r="K5" s="8"/>
      <c r="L5" s="8"/>
      <c r="M5" s="8"/>
      <c r="N5" s="4"/>
    </row>
    <row r="6" spans="1:14" ht="58.5" customHeight="1" hidden="1">
      <c r="A6" s="117" t="s">
        <v>75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1" ht="1.5" customHeight="1">
      <c r="A7" s="9"/>
      <c r="B7" s="10"/>
      <c r="C7" s="10"/>
      <c r="D7" s="88"/>
      <c r="E7" s="88"/>
      <c r="F7" s="88"/>
      <c r="G7" s="11"/>
      <c r="H7" s="11"/>
      <c r="I7" s="11"/>
      <c r="J7" s="11"/>
      <c r="K7" s="11"/>
    </row>
    <row r="8" spans="1:14" ht="21.75" customHeight="1">
      <c r="A8" s="4"/>
      <c r="B8" s="4"/>
      <c r="C8" s="4"/>
      <c r="D8" s="87"/>
      <c r="E8" s="115" t="s">
        <v>76</v>
      </c>
      <c r="F8" s="115"/>
      <c r="G8" s="116"/>
      <c r="H8" s="116"/>
      <c r="I8" s="116"/>
      <c r="J8" s="116"/>
      <c r="K8" s="116"/>
      <c r="L8" s="116"/>
      <c r="M8" s="116"/>
      <c r="N8" s="116"/>
    </row>
    <row r="9" spans="1:14" ht="21.75" customHeight="1">
      <c r="A9" s="4"/>
      <c r="B9" s="4"/>
      <c r="C9" s="4"/>
      <c r="D9" s="87"/>
      <c r="E9" s="115" t="s">
        <v>29</v>
      </c>
      <c r="F9" s="115"/>
      <c r="G9" s="116"/>
      <c r="H9" s="116"/>
      <c r="I9" s="116"/>
      <c r="J9" s="116"/>
      <c r="K9" s="116"/>
      <c r="L9" s="116"/>
      <c r="M9" s="116"/>
      <c r="N9" s="116"/>
    </row>
    <row r="10" spans="1:14" ht="21.75" customHeight="1">
      <c r="A10" s="4"/>
      <c r="B10" s="4"/>
      <c r="C10" s="4"/>
      <c r="D10" s="87"/>
      <c r="E10" s="115" t="s">
        <v>30</v>
      </c>
      <c r="F10" s="115"/>
      <c r="G10" s="116"/>
      <c r="H10" s="116"/>
      <c r="I10" s="116"/>
      <c r="J10" s="116"/>
      <c r="K10" s="116"/>
      <c r="L10" s="116"/>
      <c r="M10" s="116"/>
      <c r="N10" s="116"/>
    </row>
    <row r="11" spans="1:14" ht="21.75" customHeight="1">
      <c r="A11" s="4"/>
      <c r="B11" s="4"/>
      <c r="C11" s="4"/>
      <c r="D11" s="87"/>
      <c r="E11" s="115" t="s">
        <v>213</v>
      </c>
      <c r="F11" s="115"/>
      <c r="G11" s="116"/>
      <c r="H11" s="116"/>
      <c r="I11" s="116"/>
      <c r="J11" s="116"/>
      <c r="K11" s="116"/>
      <c r="L11" s="116"/>
      <c r="M11" s="116"/>
      <c r="N11" s="116"/>
    </row>
    <row r="12" spans="1:14" ht="12" customHeight="1">
      <c r="A12" s="4"/>
      <c r="B12" s="4"/>
      <c r="C12" s="4"/>
      <c r="D12" s="87"/>
      <c r="E12" s="87"/>
      <c r="F12" s="87"/>
      <c r="G12" s="4"/>
      <c r="H12" s="4"/>
      <c r="I12" s="4"/>
      <c r="J12" s="7"/>
      <c r="K12" s="8"/>
      <c r="L12" s="8"/>
      <c r="M12" s="8"/>
      <c r="N12" s="4"/>
    </row>
    <row r="13" spans="1:14" ht="51" customHeight="1">
      <c r="A13" s="117" t="s">
        <v>194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1" ht="24" customHeight="1">
      <c r="A14" s="117" t="s">
        <v>100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6"/>
    </row>
    <row r="15" spans="1:11" ht="27.75" customHeight="1">
      <c r="A15" s="118" t="s">
        <v>2</v>
      </c>
      <c r="B15" s="118"/>
      <c r="C15" s="118"/>
      <c r="D15" s="118"/>
      <c r="E15" s="118"/>
      <c r="F15" s="118"/>
      <c r="G15" s="118"/>
      <c r="H15" s="118"/>
      <c r="I15" s="118"/>
      <c r="J15" s="118"/>
      <c r="K15" s="6"/>
    </row>
    <row r="16" spans="1:11" s="1" customFormat="1" ht="27.75" customHeight="1">
      <c r="A16" s="108" t="s">
        <v>3</v>
      </c>
      <c r="B16" s="108" t="s">
        <v>4</v>
      </c>
      <c r="C16" s="110" t="s">
        <v>6</v>
      </c>
      <c r="D16" s="113" t="s">
        <v>123</v>
      </c>
      <c r="E16" s="113" t="s">
        <v>116</v>
      </c>
      <c r="F16" s="113" t="s">
        <v>33</v>
      </c>
      <c r="G16" s="108" t="s">
        <v>1</v>
      </c>
      <c r="H16" s="109" t="s">
        <v>107</v>
      </c>
      <c r="I16" s="109" t="s">
        <v>108</v>
      </c>
      <c r="J16" s="110" t="s">
        <v>114</v>
      </c>
      <c r="K16" s="2" t="s">
        <v>33</v>
      </c>
    </row>
    <row r="17" spans="1:16" s="1" customFormat="1" ht="42.75" customHeight="1">
      <c r="A17" s="108"/>
      <c r="B17" s="108"/>
      <c r="C17" s="110"/>
      <c r="D17" s="113"/>
      <c r="E17" s="113"/>
      <c r="F17" s="113"/>
      <c r="G17" s="108"/>
      <c r="H17" s="109"/>
      <c r="I17" s="109"/>
      <c r="J17" s="110"/>
      <c r="K17" s="2" t="s">
        <v>115</v>
      </c>
      <c r="P17" s="3"/>
    </row>
    <row r="18" spans="1:16" ht="21.75" customHeight="1">
      <c r="A18" s="12"/>
      <c r="B18" s="13" t="s">
        <v>0</v>
      </c>
      <c r="C18" s="14"/>
      <c r="D18" s="32">
        <f>D20+D22+D21</f>
        <v>567164</v>
      </c>
      <c r="E18" s="77">
        <f>E20+E22+E21</f>
        <v>4581291.005489999</v>
      </c>
      <c r="F18" s="77">
        <f>F20+F22+F21</f>
        <v>4014127.0054899994</v>
      </c>
      <c r="G18" s="17"/>
      <c r="H18" s="15">
        <f>H20+H22+H21</f>
        <v>369952.68999999994</v>
      </c>
      <c r="I18" s="15">
        <f>I20+I22+I21</f>
        <v>506821.3</v>
      </c>
      <c r="J18" s="17">
        <f>J20+J22+J21</f>
        <v>558146.2</v>
      </c>
      <c r="K18" s="17">
        <f>K20+K22+K21</f>
        <v>244122.19999999998</v>
      </c>
      <c r="P18" s="57">
        <f>F18+D18</f>
        <v>4581291.005489999</v>
      </c>
    </row>
    <row r="19" spans="1:11" ht="26.25" customHeight="1">
      <c r="A19" s="12"/>
      <c r="B19" s="18" t="s">
        <v>20</v>
      </c>
      <c r="C19" s="14"/>
      <c r="D19" s="32"/>
      <c r="E19" s="77"/>
      <c r="F19" s="77"/>
      <c r="G19" s="19"/>
      <c r="H19" s="15"/>
      <c r="I19" s="15"/>
      <c r="J19" s="19"/>
      <c r="K19" s="19"/>
    </row>
    <row r="20" spans="1:18" ht="27.75" customHeight="1">
      <c r="A20" s="25"/>
      <c r="B20" s="94" t="s">
        <v>21</v>
      </c>
      <c r="C20" s="95"/>
      <c r="D20" s="22">
        <f>D282+D165+D241</f>
        <v>68020</v>
      </c>
      <c r="E20" s="78">
        <f>E282+E165+E241+E276</f>
        <v>1547456.16209</v>
      </c>
      <c r="F20" s="78">
        <f>F282+F165+F241+F276</f>
        <v>1479436.16209</v>
      </c>
      <c r="G20" s="22"/>
      <c r="H20" s="20"/>
      <c r="I20" s="20"/>
      <c r="J20" s="22"/>
      <c r="K20" s="22"/>
      <c r="P20" s="105">
        <f>E173+E177+E181+E185+E189+E193+E197+E205+E209+E213+E217+E221+E225+E229+E233+E237+E257+E261+E265+E269+E276+E289+E293</f>
        <v>1547456.1620900002</v>
      </c>
      <c r="R20" s="57">
        <f>F20+F21</f>
        <v>3632784.5048899995</v>
      </c>
    </row>
    <row r="21" spans="1:16" ht="27.75" customHeight="1">
      <c r="A21" s="25"/>
      <c r="B21" s="94" t="s">
        <v>22</v>
      </c>
      <c r="C21" s="95"/>
      <c r="D21" s="22">
        <f>D283+D166+D242+D143</f>
        <v>3580</v>
      </c>
      <c r="E21" s="100">
        <f>E131+E143+E148+E150+E166+E242+E277+E283</f>
        <v>2156928.3427999998</v>
      </c>
      <c r="F21" s="78">
        <f>F284+F166+F242+F143+F277+F144+F131</f>
        <v>2153348.3427999998</v>
      </c>
      <c r="G21" s="22"/>
      <c r="H21" s="20"/>
      <c r="I21" s="20"/>
      <c r="J21" s="22"/>
      <c r="K21" s="22"/>
      <c r="P21" s="105">
        <f>E131+E143+E146+E150+E174+E178+E182+E186+E190+E194+E198+E206+E210+E214+E218+E222+E226+E230+E234+E238+E246+E250+E258+E262+E266+E270+E277+E290+E294+E299+E303+E307+E311+E315+E318+E323+E328+E332</f>
        <v>2156928.3427999998</v>
      </c>
    </row>
    <row r="22" spans="1:16" ht="27.75" customHeight="1">
      <c r="A22" s="25"/>
      <c r="B22" s="94" t="s">
        <v>23</v>
      </c>
      <c r="C22" s="95"/>
      <c r="D22" s="22">
        <f>D29+D62+D100+D104+D25+D97+D55</f>
        <v>495564</v>
      </c>
      <c r="E22" s="100">
        <f>E29+E62+E100+E104+E97+E55+E24</f>
        <v>876906.5006000001</v>
      </c>
      <c r="F22" s="78">
        <f>F29+F62+F100+F104+F97+F55+F24</f>
        <v>381342.50059999997</v>
      </c>
      <c r="G22" s="22"/>
      <c r="H22" s="20">
        <f>H29+H62+H100+H104+H33+H25+H97+H55</f>
        <v>369952.68999999994</v>
      </c>
      <c r="I22" s="20">
        <f>I29+I62+I100+I104+I33+I25+I97+I55</f>
        <v>506821.3</v>
      </c>
      <c r="J22" s="22">
        <f>J29+J62+J100+J104+J33+J25+J97+J55</f>
        <v>558146.2</v>
      </c>
      <c r="K22" s="22">
        <f>K29+K62+K100+K104+K33+K25+K97+K55</f>
        <v>244122.19999999998</v>
      </c>
      <c r="P22" s="104">
        <f>E23+E29+E61+E97+E100+E104</f>
        <v>876906.5006000001</v>
      </c>
    </row>
    <row r="23" spans="1:16" ht="27.75" customHeight="1">
      <c r="A23" s="23" t="s">
        <v>10</v>
      </c>
      <c r="B23" s="76" t="s">
        <v>65</v>
      </c>
      <c r="C23" s="23" t="s">
        <v>63</v>
      </c>
      <c r="D23" s="33">
        <f aca="true" t="shared" si="0" ref="D23:J24">D24</f>
        <v>0</v>
      </c>
      <c r="E23" s="33">
        <f t="shared" si="0"/>
        <v>22184.5</v>
      </c>
      <c r="F23" s="33">
        <f t="shared" si="0"/>
        <v>22184.5</v>
      </c>
      <c r="G23" s="27"/>
      <c r="H23" s="15">
        <f t="shared" si="0"/>
        <v>0</v>
      </c>
      <c r="I23" s="15">
        <f t="shared" si="0"/>
        <v>0</v>
      </c>
      <c r="J23" s="27">
        <f t="shared" si="0"/>
        <v>0</v>
      </c>
      <c r="K23" s="16"/>
      <c r="P23" s="104">
        <f>E23+E29+E61+E97+E100+E104</f>
        <v>876906.5006000001</v>
      </c>
    </row>
    <row r="24" spans="1:11" ht="45" customHeight="1">
      <c r="A24" s="25"/>
      <c r="B24" s="76" t="s">
        <v>64</v>
      </c>
      <c r="C24" s="23" t="s">
        <v>63</v>
      </c>
      <c r="D24" s="33">
        <f t="shared" si="0"/>
        <v>0</v>
      </c>
      <c r="E24" s="33">
        <f>E25+E26+E27+E28</f>
        <v>22184.5</v>
      </c>
      <c r="F24" s="33">
        <f>F25+F26+F27+F28</f>
        <v>22184.5</v>
      </c>
      <c r="G24" s="27"/>
      <c r="H24" s="15">
        <f t="shared" si="0"/>
        <v>0</v>
      </c>
      <c r="I24" s="15">
        <f t="shared" si="0"/>
        <v>0</v>
      </c>
      <c r="J24" s="27">
        <f t="shared" si="0"/>
        <v>0</v>
      </c>
      <c r="K24" s="16"/>
    </row>
    <row r="25" spans="1:11" ht="171.75" customHeight="1">
      <c r="A25" s="25" t="s">
        <v>25</v>
      </c>
      <c r="B25" s="28" t="s">
        <v>197</v>
      </c>
      <c r="C25" s="25" t="s">
        <v>63</v>
      </c>
      <c r="D25" s="22"/>
      <c r="E25" s="22">
        <f>D25+F25</f>
        <v>5738.5</v>
      </c>
      <c r="F25" s="22">
        <v>5738.5</v>
      </c>
      <c r="G25" s="85" t="s">
        <v>160</v>
      </c>
      <c r="H25" s="20"/>
      <c r="I25" s="20"/>
      <c r="J25" s="21"/>
      <c r="K25" s="21"/>
    </row>
    <row r="26" spans="1:11" ht="117.75" customHeight="1">
      <c r="A26" s="25" t="s">
        <v>26</v>
      </c>
      <c r="B26" s="28" t="s">
        <v>198</v>
      </c>
      <c r="C26" s="25" t="s">
        <v>63</v>
      </c>
      <c r="D26" s="22"/>
      <c r="E26" s="22">
        <f>D26+F26</f>
        <v>6593.5</v>
      </c>
      <c r="F26" s="22">
        <v>6593.5</v>
      </c>
      <c r="G26" s="85" t="s">
        <v>160</v>
      </c>
      <c r="H26" s="20"/>
      <c r="I26" s="20"/>
      <c r="J26" s="21"/>
      <c r="K26" s="21"/>
    </row>
    <row r="27" spans="1:11" ht="96.75" customHeight="1">
      <c r="A27" s="25" t="s">
        <v>27</v>
      </c>
      <c r="B27" s="28" t="s">
        <v>158</v>
      </c>
      <c r="C27" s="25" t="s">
        <v>63</v>
      </c>
      <c r="D27" s="22"/>
      <c r="E27" s="21">
        <f>D27+F27</f>
        <v>6337</v>
      </c>
      <c r="F27" s="22">
        <v>6337</v>
      </c>
      <c r="G27" s="85" t="s">
        <v>160</v>
      </c>
      <c r="H27" s="20"/>
      <c r="I27" s="20"/>
      <c r="J27" s="21"/>
      <c r="K27" s="21"/>
    </row>
    <row r="28" spans="1:11" ht="76.5" customHeight="1">
      <c r="A28" s="25" t="s">
        <v>34</v>
      </c>
      <c r="B28" s="28" t="s">
        <v>159</v>
      </c>
      <c r="C28" s="25" t="s">
        <v>63</v>
      </c>
      <c r="D28" s="22"/>
      <c r="E28" s="22">
        <f>D28+F28</f>
        <v>3515.5</v>
      </c>
      <c r="F28" s="22">
        <v>3515.5</v>
      </c>
      <c r="G28" s="85" t="s">
        <v>160</v>
      </c>
      <c r="H28" s="20"/>
      <c r="I28" s="20"/>
      <c r="J28" s="21"/>
      <c r="K28" s="21"/>
    </row>
    <row r="29" spans="1:11" ht="27.75" customHeight="1">
      <c r="A29" s="23" t="s">
        <v>18</v>
      </c>
      <c r="B29" s="26" t="s">
        <v>36</v>
      </c>
      <c r="C29" s="23" t="s">
        <v>37</v>
      </c>
      <c r="D29" s="33">
        <f>D30+D40+D33</f>
        <v>108060</v>
      </c>
      <c r="E29" s="33">
        <f>E30+E40+E33</f>
        <v>116176.3</v>
      </c>
      <c r="F29" s="33">
        <f>F30+F40+F33</f>
        <v>8116.299999999999</v>
      </c>
      <c r="G29" s="27"/>
      <c r="H29" s="15">
        <f>H30+H40</f>
        <v>89788</v>
      </c>
      <c r="I29" s="15">
        <f>I30+I40</f>
        <v>0</v>
      </c>
      <c r="J29" s="27">
        <f>J30+J40</f>
        <v>0</v>
      </c>
      <c r="K29" s="16"/>
    </row>
    <row r="30" spans="1:11" ht="27.75" customHeight="1">
      <c r="A30" s="23"/>
      <c r="B30" s="26" t="s">
        <v>117</v>
      </c>
      <c r="C30" s="23" t="s">
        <v>38</v>
      </c>
      <c r="D30" s="33">
        <f>D32</f>
        <v>89600</v>
      </c>
      <c r="E30" s="27">
        <f>E32</f>
        <v>89600</v>
      </c>
      <c r="F30" s="33">
        <f>F32</f>
        <v>0</v>
      </c>
      <c r="G30" s="27"/>
      <c r="H30" s="15">
        <f>H32</f>
        <v>84000</v>
      </c>
      <c r="I30" s="15">
        <f>I32</f>
        <v>0</v>
      </c>
      <c r="J30" s="27">
        <f>J32</f>
        <v>0</v>
      </c>
      <c r="K30" s="16"/>
    </row>
    <row r="31" spans="1:11" ht="84" customHeight="1">
      <c r="A31" s="23"/>
      <c r="B31" s="28" t="s">
        <v>11</v>
      </c>
      <c r="C31" s="23"/>
      <c r="D31" s="22"/>
      <c r="E31" s="21">
        <v>89600</v>
      </c>
      <c r="F31" s="22"/>
      <c r="G31" s="21"/>
      <c r="H31" s="20"/>
      <c r="I31" s="20"/>
      <c r="J31" s="21"/>
      <c r="K31" s="21"/>
    </row>
    <row r="32" spans="1:16" ht="49.5" customHeight="1">
      <c r="A32" s="25" t="s">
        <v>35</v>
      </c>
      <c r="B32" s="28" t="s">
        <v>39</v>
      </c>
      <c r="C32" s="25" t="s">
        <v>38</v>
      </c>
      <c r="D32" s="22">
        <v>89600</v>
      </c>
      <c r="E32" s="21">
        <f>D32+F32</f>
        <v>89600</v>
      </c>
      <c r="F32" s="22"/>
      <c r="G32" s="85" t="s">
        <v>7</v>
      </c>
      <c r="H32" s="20">
        <v>84000</v>
      </c>
      <c r="I32" s="20"/>
      <c r="J32" s="21"/>
      <c r="K32" s="21"/>
      <c r="P32" s="57">
        <f aca="true" t="shared" si="1" ref="P32:P101">F32+D32</f>
        <v>89600</v>
      </c>
    </row>
    <row r="33" spans="1:16" ht="22.5" customHeight="1" hidden="1">
      <c r="A33" s="25"/>
      <c r="B33" s="26" t="s">
        <v>53</v>
      </c>
      <c r="C33" s="23" t="s">
        <v>54</v>
      </c>
      <c r="D33" s="33">
        <f>D34</f>
        <v>18460</v>
      </c>
      <c r="E33" s="33">
        <f>E34</f>
        <v>0</v>
      </c>
      <c r="F33" s="33">
        <f>F34</f>
        <v>-18460</v>
      </c>
      <c r="G33" s="27"/>
      <c r="H33" s="15">
        <f>H34</f>
        <v>18460</v>
      </c>
      <c r="I33" s="15">
        <f>I38</f>
        <v>0</v>
      </c>
      <c r="J33" s="27">
        <f>J38</f>
        <v>0</v>
      </c>
      <c r="K33" s="16"/>
      <c r="P33" s="57">
        <f t="shared" si="1"/>
        <v>0</v>
      </c>
    </row>
    <row r="34" spans="1:16" ht="76.5" customHeight="1" hidden="1">
      <c r="A34" s="25"/>
      <c r="B34" s="30" t="s">
        <v>199</v>
      </c>
      <c r="C34" s="23" t="s">
        <v>54</v>
      </c>
      <c r="D34" s="33">
        <f>SUM(D36:D39)</f>
        <v>18460</v>
      </c>
      <c r="E34" s="33">
        <f>SUM(E36:E39)</f>
        <v>0</v>
      </c>
      <c r="F34" s="33">
        <f>SUM(F36:F39)</f>
        <v>-18460</v>
      </c>
      <c r="G34" s="27"/>
      <c r="H34" s="15">
        <f>SUM(H36:H39)</f>
        <v>18460</v>
      </c>
      <c r="I34" s="20"/>
      <c r="J34" s="27"/>
      <c r="K34" s="16"/>
      <c r="P34" s="57">
        <f t="shared" si="1"/>
        <v>0</v>
      </c>
    </row>
    <row r="35" spans="1:16" ht="37.5" customHeight="1" hidden="1">
      <c r="A35" s="25"/>
      <c r="B35" s="30" t="s">
        <v>124</v>
      </c>
      <c r="C35" s="23" t="s">
        <v>54</v>
      </c>
      <c r="D35" s="33">
        <f>D34</f>
        <v>18460</v>
      </c>
      <c r="E35" s="33">
        <f>E34</f>
        <v>0</v>
      </c>
      <c r="F35" s="33">
        <f>F34</f>
        <v>-18460</v>
      </c>
      <c r="G35" s="27"/>
      <c r="H35" s="15"/>
      <c r="I35" s="20"/>
      <c r="J35" s="27"/>
      <c r="K35" s="16"/>
      <c r="P35" s="57">
        <f t="shared" si="1"/>
        <v>0</v>
      </c>
    </row>
    <row r="36" spans="1:16" ht="55.5" customHeight="1" hidden="1">
      <c r="A36" s="25" t="s">
        <v>170</v>
      </c>
      <c r="B36" s="28" t="s">
        <v>109</v>
      </c>
      <c r="C36" s="25" t="s">
        <v>54</v>
      </c>
      <c r="D36" s="22">
        <v>3990</v>
      </c>
      <c r="E36" s="22">
        <f>D36+F36</f>
        <v>0</v>
      </c>
      <c r="F36" s="22">
        <v>-3990</v>
      </c>
      <c r="G36" s="85" t="s">
        <v>19</v>
      </c>
      <c r="H36" s="20">
        <v>3990</v>
      </c>
      <c r="I36" s="20"/>
      <c r="J36" s="21"/>
      <c r="K36" s="21"/>
      <c r="P36" s="57">
        <f t="shared" si="1"/>
        <v>0</v>
      </c>
    </row>
    <row r="37" spans="1:17" ht="55.5" customHeight="1" hidden="1">
      <c r="A37" s="25" t="s">
        <v>171</v>
      </c>
      <c r="B37" s="28" t="s">
        <v>118</v>
      </c>
      <c r="C37" s="25" t="s">
        <v>54</v>
      </c>
      <c r="D37" s="22">
        <v>3490</v>
      </c>
      <c r="E37" s="22">
        <f>D37+F37</f>
        <v>0</v>
      </c>
      <c r="F37" s="22">
        <v>-3490</v>
      </c>
      <c r="G37" s="85" t="s">
        <v>19</v>
      </c>
      <c r="H37" s="20">
        <v>3490</v>
      </c>
      <c r="I37" s="20"/>
      <c r="J37" s="21"/>
      <c r="K37" s="21"/>
      <c r="P37" s="57">
        <f t="shared" si="1"/>
        <v>0</v>
      </c>
      <c r="Q37" s="57">
        <f>F61+F104</f>
        <v>346503.6</v>
      </c>
    </row>
    <row r="38" spans="1:16" ht="51.75" customHeight="1" hidden="1">
      <c r="A38" s="25" t="s">
        <v>172</v>
      </c>
      <c r="B38" s="31" t="s">
        <v>110</v>
      </c>
      <c r="C38" s="25" t="s">
        <v>54</v>
      </c>
      <c r="D38" s="22">
        <v>5490</v>
      </c>
      <c r="E38" s="22">
        <f>D38+F38</f>
        <v>0</v>
      </c>
      <c r="F38" s="22">
        <v>-5490</v>
      </c>
      <c r="G38" s="85" t="s">
        <v>19</v>
      </c>
      <c r="H38" s="20">
        <v>5490</v>
      </c>
      <c r="I38" s="20"/>
      <c r="J38" s="21"/>
      <c r="K38" s="21"/>
      <c r="P38" s="57">
        <f t="shared" si="1"/>
        <v>0</v>
      </c>
    </row>
    <row r="39" spans="1:16" ht="51" customHeight="1" hidden="1">
      <c r="A39" s="25" t="s">
        <v>173</v>
      </c>
      <c r="B39" s="31" t="s">
        <v>111</v>
      </c>
      <c r="C39" s="25" t="s">
        <v>54</v>
      </c>
      <c r="D39" s="22">
        <v>5490</v>
      </c>
      <c r="E39" s="22">
        <f>D39+F39</f>
        <v>0</v>
      </c>
      <c r="F39" s="22">
        <v>-5490</v>
      </c>
      <c r="G39" s="85" t="s">
        <v>19</v>
      </c>
      <c r="H39" s="20">
        <v>5490</v>
      </c>
      <c r="I39" s="20"/>
      <c r="J39" s="21"/>
      <c r="K39" s="21"/>
      <c r="P39" s="57">
        <f t="shared" si="1"/>
        <v>0</v>
      </c>
    </row>
    <row r="40" spans="1:16" ht="48" customHeight="1">
      <c r="A40" s="23"/>
      <c r="B40" s="30" t="s">
        <v>40</v>
      </c>
      <c r="C40" s="23" t="s">
        <v>41</v>
      </c>
      <c r="D40" s="33">
        <f>D42+D45</f>
        <v>0</v>
      </c>
      <c r="E40" s="33">
        <f>E42+E45</f>
        <v>26576.3</v>
      </c>
      <c r="F40" s="33">
        <f>F42+F45</f>
        <v>26576.3</v>
      </c>
      <c r="G40" s="27"/>
      <c r="H40" s="15">
        <f>H42+H45</f>
        <v>5788</v>
      </c>
      <c r="I40" s="15">
        <f>I42+I45</f>
        <v>0</v>
      </c>
      <c r="J40" s="27">
        <f>J42+J45</f>
        <v>0</v>
      </c>
      <c r="K40" s="16"/>
      <c r="P40" s="57">
        <f t="shared" si="1"/>
        <v>26576.3</v>
      </c>
    </row>
    <row r="41" spans="1:16" ht="69" customHeight="1">
      <c r="A41" s="23"/>
      <c r="B41" s="30" t="s">
        <v>42</v>
      </c>
      <c r="C41" s="25"/>
      <c r="D41" s="33">
        <f>D42</f>
        <v>0</v>
      </c>
      <c r="E41" s="33">
        <f>E40</f>
        <v>26576.3</v>
      </c>
      <c r="F41" s="33">
        <f>F40</f>
        <v>26576.3</v>
      </c>
      <c r="G41" s="21"/>
      <c r="H41" s="20"/>
      <c r="I41" s="20"/>
      <c r="J41" s="21"/>
      <c r="K41" s="21"/>
      <c r="P41" s="57">
        <f t="shared" si="1"/>
        <v>26576.3</v>
      </c>
    </row>
    <row r="42" spans="1:16" ht="30" customHeight="1">
      <c r="A42" s="23"/>
      <c r="B42" s="30" t="s">
        <v>43</v>
      </c>
      <c r="C42" s="23" t="s">
        <v>41</v>
      </c>
      <c r="D42" s="33">
        <f>D44+D43</f>
        <v>0</v>
      </c>
      <c r="E42" s="27">
        <f>E44+E43</f>
        <v>9965</v>
      </c>
      <c r="F42" s="33">
        <f>F44+F43</f>
        <v>9965</v>
      </c>
      <c r="G42" s="27"/>
      <c r="H42" s="15">
        <f>H44+H43</f>
        <v>0</v>
      </c>
      <c r="I42" s="15">
        <f>I44+I43</f>
        <v>0</v>
      </c>
      <c r="J42" s="27">
        <f>J44+J43</f>
        <v>0</v>
      </c>
      <c r="K42" s="16"/>
      <c r="P42" s="57">
        <f t="shared" si="1"/>
        <v>9965</v>
      </c>
    </row>
    <row r="43" spans="1:16" ht="57.75" customHeight="1">
      <c r="A43" s="25" t="s">
        <v>170</v>
      </c>
      <c r="B43" s="28" t="s">
        <v>95</v>
      </c>
      <c r="C43" s="25" t="s">
        <v>41</v>
      </c>
      <c r="D43" s="22"/>
      <c r="E43" s="21">
        <f>D43+F43</f>
        <v>9965</v>
      </c>
      <c r="F43" s="22">
        <v>9965</v>
      </c>
      <c r="G43" s="85" t="s">
        <v>19</v>
      </c>
      <c r="H43" s="20"/>
      <c r="I43" s="20"/>
      <c r="J43" s="21"/>
      <c r="K43" s="21"/>
      <c r="P43" s="57">
        <f t="shared" si="1"/>
        <v>9965</v>
      </c>
    </row>
    <row r="44" spans="1:16" ht="59.25" customHeight="1" hidden="1">
      <c r="A44" s="25" t="s">
        <v>34</v>
      </c>
      <c r="B44" s="24"/>
      <c r="C44" s="25" t="s">
        <v>41</v>
      </c>
      <c r="D44" s="22"/>
      <c r="E44" s="22"/>
      <c r="F44" s="22"/>
      <c r="G44" s="21"/>
      <c r="H44" s="20"/>
      <c r="I44" s="20"/>
      <c r="J44" s="21"/>
      <c r="K44" s="21"/>
      <c r="P44" s="57">
        <f t="shared" si="1"/>
        <v>0</v>
      </c>
    </row>
    <row r="45" spans="1:16" ht="59.25" customHeight="1">
      <c r="A45" s="25"/>
      <c r="B45" s="30" t="s">
        <v>62</v>
      </c>
      <c r="C45" s="23" t="s">
        <v>41</v>
      </c>
      <c r="D45" s="33">
        <f>D51</f>
        <v>0</v>
      </c>
      <c r="E45" s="33">
        <f>E51+E46+E47+E48+E49+E50+E52+E53+E54</f>
        <v>16611.3</v>
      </c>
      <c r="F45" s="33">
        <f>F51+F46+F47+F48+F49+F50+F52+F53+F54</f>
        <v>16611.3</v>
      </c>
      <c r="G45" s="27"/>
      <c r="H45" s="15">
        <f>SUM(H46:H50)</f>
        <v>5788</v>
      </c>
      <c r="I45" s="15">
        <f>I51</f>
        <v>0</v>
      </c>
      <c r="J45" s="27">
        <f>J51</f>
        <v>0</v>
      </c>
      <c r="K45" s="16"/>
      <c r="P45" s="57">
        <f t="shared" si="1"/>
        <v>16611.3</v>
      </c>
    </row>
    <row r="46" spans="1:16" ht="76.5" customHeight="1">
      <c r="A46" s="25" t="s">
        <v>171</v>
      </c>
      <c r="B46" s="28" t="s">
        <v>161</v>
      </c>
      <c r="C46" s="25" t="s">
        <v>41</v>
      </c>
      <c r="D46" s="33"/>
      <c r="E46" s="22">
        <f aca="true" t="shared" si="2" ref="E46:E54">D46+F46</f>
        <v>882.1</v>
      </c>
      <c r="F46" s="22">
        <v>882.1</v>
      </c>
      <c r="G46" s="85" t="s">
        <v>160</v>
      </c>
      <c r="H46" s="20">
        <v>1600</v>
      </c>
      <c r="I46" s="15"/>
      <c r="J46" s="27"/>
      <c r="K46" s="16"/>
      <c r="P46" s="57">
        <f t="shared" si="1"/>
        <v>882.1</v>
      </c>
    </row>
    <row r="47" spans="1:16" ht="94.5" customHeight="1">
      <c r="A47" s="25" t="s">
        <v>172</v>
      </c>
      <c r="B47" s="28" t="s">
        <v>162</v>
      </c>
      <c r="C47" s="25" t="s">
        <v>41</v>
      </c>
      <c r="D47" s="33"/>
      <c r="E47" s="22">
        <f t="shared" si="2"/>
        <v>2022.1</v>
      </c>
      <c r="F47" s="22">
        <v>2022.1</v>
      </c>
      <c r="G47" s="85" t="s">
        <v>160</v>
      </c>
      <c r="H47" s="20">
        <v>2050</v>
      </c>
      <c r="I47" s="15"/>
      <c r="J47" s="27"/>
      <c r="K47" s="16"/>
      <c r="P47" s="57">
        <f t="shared" si="1"/>
        <v>2022.1</v>
      </c>
    </row>
    <row r="48" spans="1:16" ht="93" customHeight="1">
      <c r="A48" s="25" t="s">
        <v>173</v>
      </c>
      <c r="B48" s="28" t="s">
        <v>163</v>
      </c>
      <c r="C48" s="25" t="s">
        <v>41</v>
      </c>
      <c r="D48" s="33"/>
      <c r="E48" s="22">
        <f t="shared" si="2"/>
        <v>2022.1</v>
      </c>
      <c r="F48" s="22">
        <v>2022.1</v>
      </c>
      <c r="G48" s="85" t="s">
        <v>160</v>
      </c>
      <c r="H48" s="20">
        <v>735</v>
      </c>
      <c r="I48" s="15"/>
      <c r="J48" s="27"/>
      <c r="K48" s="16"/>
      <c r="P48" s="57">
        <f t="shared" si="1"/>
        <v>2022.1</v>
      </c>
    </row>
    <row r="49" spans="1:16" ht="61.5" customHeight="1">
      <c r="A49" s="25" t="s">
        <v>174</v>
      </c>
      <c r="B49" s="28" t="s">
        <v>164</v>
      </c>
      <c r="C49" s="25" t="s">
        <v>41</v>
      </c>
      <c r="D49" s="33"/>
      <c r="E49" s="21">
        <f t="shared" si="2"/>
        <v>1425</v>
      </c>
      <c r="F49" s="22">
        <v>1425</v>
      </c>
      <c r="G49" s="85" t="s">
        <v>160</v>
      </c>
      <c r="H49" s="20">
        <v>686</v>
      </c>
      <c r="I49" s="15"/>
      <c r="J49" s="27"/>
      <c r="K49" s="16"/>
      <c r="P49" s="57">
        <f t="shared" si="1"/>
        <v>1425</v>
      </c>
    </row>
    <row r="50" spans="1:16" ht="59.25" customHeight="1">
      <c r="A50" s="25" t="s">
        <v>175</v>
      </c>
      <c r="B50" s="28" t="s">
        <v>165</v>
      </c>
      <c r="C50" s="25" t="s">
        <v>41</v>
      </c>
      <c r="D50" s="22"/>
      <c r="E50" s="21">
        <f t="shared" si="2"/>
        <v>1425</v>
      </c>
      <c r="F50" s="22">
        <v>1425</v>
      </c>
      <c r="G50" s="85" t="s">
        <v>160</v>
      </c>
      <c r="H50" s="20">
        <v>717</v>
      </c>
      <c r="I50" s="20"/>
      <c r="J50" s="21"/>
      <c r="K50" s="21"/>
      <c r="P50" s="57">
        <f t="shared" si="1"/>
        <v>1425</v>
      </c>
    </row>
    <row r="51" spans="1:16" ht="192" customHeight="1">
      <c r="A51" s="25" t="s">
        <v>176</v>
      </c>
      <c r="B51" s="28" t="s">
        <v>166</v>
      </c>
      <c r="C51" s="25" t="s">
        <v>41</v>
      </c>
      <c r="D51" s="22"/>
      <c r="E51" s="21">
        <f t="shared" si="2"/>
        <v>2850</v>
      </c>
      <c r="F51" s="22">
        <v>2850</v>
      </c>
      <c r="G51" s="85" t="s">
        <v>160</v>
      </c>
      <c r="H51" s="20"/>
      <c r="I51" s="20"/>
      <c r="J51" s="21"/>
      <c r="K51" s="21"/>
      <c r="P51" s="57">
        <f t="shared" si="1"/>
        <v>2850</v>
      </c>
    </row>
    <row r="52" spans="1:16" ht="78.75" customHeight="1">
      <c r="A52" s="25" t="s">
        <v>177</v>
      </c>
      <c r="B52" s="28" t="s">
        <v>167</v>
      </c>
      <c r="C52" s="25" t="s">
        <v>41</v>
      </c>
      <c r="D52" s="22"/>
      <c r="E52" s="22">
        <f t="shared" si="2"/>
        <v>997.5</v>
      </c>
      <c r="F52" s="22">
        <v>997.5</v>
      </c>
      <c r="G52" s="85" t="s">
        <v>160</v>
      </c>
      <c r="H52" s="20"/>
      <c r="I52" s="20"/>
      <c r="J52" s="21"/>
      <c r="K52" s="21"/>
      <c r="P52" s="57">
        <f t="shared" si="1"/>
        <v>997.5</v>
      </c>
    </row>
    <row r="53" spans="1:16" ht="75.75" customHeight="1">
      <c r="A53" s="25" t="s">
        <v>178</v>
      </c>
      <c r="B53" s="28" t="s">
        <v>168</v>
      </c>
      <c r="C53" s="25" t="s">
        <v>41</v>
      </c>
      <c r="D53" s="22"/>
      <c r="E53" s="22">
        <f t="shared" si="2"/>
        <v>2137.5</v>
      </c>
      <c r="F53" s="22">
        <v>2137.5</v>
      </c>
      <c r="G53" s="85" t="s">
        <v>160</v>
      </c>
      <c r="H53" s="20"/>
      <c r="I53" s="20"/>
      <c r="J53" s="21"/>
      <c r="K53" s="21"/>
      <c r="P53" s="57">
        <f t="shared" si="1"/>
        <v>2137.5</v>
      </c>
    </row>
    <row r="54" spans="1:16" ht="75" customHeight="1">
      <c r="A54" s="25" t="s">
        <v>79</v>
      </c>
      <c r="B54" s="28" t="s">
        <v>169</v>
      </c>
      <c r="C54" s="25" t="s">
        <v>41</v>
      </c>
      <c r="D54" s="22"/>
      <c r="E54" s="21">
        <f t="shared" si="2"/>
        <v>2850</v>
      </c>
      <c r="F54" s="22">
        <v>2850</v>
      </c>
      <c r="G54" s="85" t="s">
        <v>160</v>
      </c>
      <c r="H54" s="20"/>
      <c r="I54" s="20"/>
      <c r="J54" s="21"/>
      <c r="K54" s="21"/>
      <c r="P54" s="57">
        <f t="shared" si="1"/>
        <v>2850</v>
      </c>
    </row>
    <row r="55" spans="1:16" s="5" customFormat="1" ht="27.75" customHeight="1" hidden="1">
      <c r="A55" s="23" t="s">
        <v>78</v>
      </c>
      <c r="B55" s="26" t="s">
        <v>101</v>
      </c>
      <c r="C55" s="23" t="s">
        <v>102</v>
      </c>
      <c r="D55" s="33">
        <f aca="true" t="shared" si="3" ref="D55:J57">D56</f>
        <v>0</v>
      </c>
      <c r="E55" s="33">
        <f t="shared" si="3"/>
        <v>0</v>
      </c>
      <c r="F55" s="33">
        <f t="shared" si="3"/>
        <v>0</v>
      </c>
      <c r="G55" s="33"/>
      <c r="H55" s="15">
        <f t="shared" si="3"/>
        <v>0</v>
      </c>
      <c r="I55" s="15">
        <f t="shared" si="3"/>
        <v>0</v>
      </c>
      <c r="J55" s="33">
        <f t="shared" si="3"/>
        <v>0</v>
      </c>
      <c r="K55" s="32"/>
      <c r="P55" s="57">
        <f t="shared" si="1"/>
        <v>0</v>
      </c>
    </row>
    <row r="56" spans="1:16" s="5" customFormat="1" ht="46.5" customHeight="1" hidden="1">
      <c r="A56" s="23"/>
      <c r="B56" s="30" t="s">
        <v>104</v>
      </c>
      <c r="C56" s="23" t="s">
        <v>103</v>
      </c>
      <c r="D56" s="33">
        <f t="shared" si="3"/>
        <v>0</v>
      </c>
      <c r="E56" s="33">
        <f t="shared" si="3"/>
        <v>0</v>
      </c>
      <c r="F56" s="33">
        <f t="shared" si="3"/>
        <v>0</v>
      </c>
      <c r="G56" s="33"/>
      <c r="H56" s="15">
        <f t="shared" si="3"/>
        <v>0</v>
      </c>
      <c r="I56" s="15">
        <f t="shared" si="3"/>
        <v>0</v>
      </c>
      <c r="J56" s="33">
        <f t="shared" si="3"/>
        <v>0</v>
      </c>
      <c r="K56" s="32"/>
      <c r="P56" s="57">
        <f t="shared" si="1"/>
        <v>0</v>
      </c>
    </row>
    <row r="57" spans="1:16" s="5" customFormat="1" ht="50.25" customHeight="1" hidden="1">
      <c r="A57" s="25"/>
      <c r="B57" s="30" t="s">
        <v>105</v>
      </c>
      <c r="C57" s="23" t="s">
        <v>103</v>
      </c>
      <c r="D57" s="33">
        <f t="shared" si="3"/>
        <v>0</v>
      </c>
      <c r="E57" s="33">
        <f t="shared" si="3"/>
        <v>0</v>
      </c>
      <c r="F57" s="33">
        <f t="shared" si="3"/>
        <v>0</v>
      </c>
      <c r="G57" s="33"/>
      <c r="H57" s="15">
        <f t="shared" si="3"/>
        <v>0</v>
      </c>
      <c r="I57" s="15">
        <f t="shared" si="3"/>
        <v>0</v>
      </c>
      <c r="J57" s="33">
        <f t="shared" si="3"/>
        <v>0</v>
      </c>
      <c r="K57" s="32"/>
      <c r="P57" s="57">
        <f t="shared" si="1"/>
        <v>0</v>
      </c>
    </row>
    <row r="58" spans="1:16" s="5" customFormat="1" ht="70.5" customHeight="1" hidden="1">
      <c r="A58" s="25"/>
      <c r="B58" s="30" t="s">
        <v>106</v>
      </c>
      <c r="C58" s="23" t="s">
        <v>103</v>
      </c>
      <c r="D58" s="33">
        <f>SUM(D59:D60)</f>
        <v>0</v>
      </c>
      <c r="E58" s="33">
        <f>SUM(E59:E60)</f>
        <v>0</v>
      </c>
      <c r="F58" s="33">
        <f>SUM(F59:F60)</f>
        <v>0</v>
      </c>
      <c r="G58" s="33"/>
      <c r="H58" s="15">
        <f>SUM(H59:H60)</f>
        <v>0</v>
      </c>
      <c r="I58" s="15">
        <f>SUM(I59:I60)</f>
        <v>0</v>
      </c>
      <c r="J58" s="33">
        <f>SUM(J59:J60)</f>
        <v>0</v>
      </c>
      <c r="K58" s="33"/>
      <c r="P58" s="57">
        <f t="shared" si="1"/>
        <v>0</v>
      </c>
    </row>
    <row r="59" spans="1:16" s="5" customFormat="1" ht="97.5" customHeight="1" hidden="1">
      <c r="A59" s="34">
        <v>6</v>
      </c>
      <c r="B59" s="28" t="s">
        <v>200</v>
      </c>
      <c r="C59" s="25" t="s">
        <v>103</v>
      </c>
      <c r="D59" s="96"/>
      <c r="E59" s="96"/>
      <c r="F59" s="96"/>
      <c r="G59" s="96"/>
      <c r="H59" s="35"/>
      <c r="I59" s="35"/>
      <c r="J59" s="96"/>
      <c r="K59" s="37"/>
      <c r="P59" s="57">
        <f t="shared" si="1"/>
        <v>0</v>
      </c>
    </row>
    <row r="60" spans="1:16" s="5" customFormat="1" ht="89.25" customHeight="1" hidden="1">
      <c r="A60" s="34">
        <v>7</v>
      </c>
      <c r="B60" s="28"/>
      <c r="C60" s="25" t="s">
        <v>103</v>
      </c>
      <c r="D60" s="96"/>
      <c r="E60" s="96"/>
      <c r="F60" s="96"/>
      <c r="G60" s="97"/>
      <c r="H60" s="35"/>
      <c r="I60" s="35"/>
      <c r="J60" s="97"/>
      <c r="K60" s="36"/>
      <c r="P60" s="57">
        <f t="shared" si="1"/>
        <v>0</v>
      </c>
    </row>
    <row r="61" spans="1:16" s="5" customFormat="1" ht="33" customHeight="1">
      <c r="A61" s="23" t="s">
        <v>78</v>
      </c>
      <c r="B61" s="26" t="s">
        <v>121</v>
      </c>
      <c r="C61" s="23" t="s">
        <v>24</v>
      </c>
      <c r="D61" s="33">
        <f>D62</f>
        <v>372399</v>
      </c>
      <c r="E61" s="33">
        <f>E62</f>
        <v>675063.3</v>
      </c>
      <c r="F61" s="33">
        <f>F62</f>
        <v>302664.3</v>
      </c>
      <c r="G61" s="21"/>
      <c r="H61" s="35"/>
      <c r="I61" s="35"/>
      <c r="J61" s="97"/>
      <c r="K61" s="36"/>
      <c r="P61" s="57">
        <f t="shared" si="1"/>
        <v>675063.3</v>
      </c>
    </row>
    <row r="62" spans="1:16" s="5" customFormat="1" ht="27.75" customHeight="1">
      <c r="A62" s="26"/>
      <c r="B62" s="30" t="s">
        <v>31</v>
      </c>
      <c r="C62" s="23" t="s">
        <v>17</v>
      </c>
      <c r="D62" s="33">
        <f aca="true" t="shared" si="4" ref="D62:K62">D63</f>
        <v>372399</v>
      </c>
      <c r="E62" s="33">
        <f t="shared" si="4"/>
        <v>675063.3</v>
      </c>
      <c r="F62" s="33">
        <f t="shared" si="4"/>
        <v>302664.3</v>
      </c>
      <c r="G62" s="33"/>
      <c r="H62" s="15">
        <f t="shared" si="4"/>
        <v>243447.94999999998</v>
      </c>
      <c r="I62" s="15">
        <f t="shared" si="4"/>
        <v>496785.5</v>
      </c>
      <c r="J62" s="33">
        <f t="shared" si="4"/>
        <v>520364.1</v>
      </c>
      <c r="K62" s="32">
        <f t="shared" si="4"/>
        <v>223730.19999999998</v>
      </c>
      <c r="P62" s="57">
        <f t="shared" si="1"/>
        <v>675063.3</v>
      </c>
    </row>
    <row r="63" spans="1:16" s="5" customFormat="1" ht="50.25" customHeight="1">
      <c r="A63" s="25"/>
      <c r="B63" s="30" t="s">
        <v>15</v>
      </c>
      <c r="C63" s="23"/>
      <c r="D63" s="33">
        <f>D87+D64</f>
        <v>372399</v>
      </c>
      <c r="E63" s="33">
        <f>E87+E64</f>
        <v>675063.3</v>
      </c>
      <c r="F63" s="33">
        <f>F87+F64</f>
        <v>302664.3</v>
      </c>
      <c r="G63" s="33"/>
      <c r="H63" s="15">
        <f>H87+H64</f>
        <v>243447.94999999998</v>
      </c>
      <c r="I63" s="15">
        <f>I87+I64</f>
        <v>496785.5</v>
      </c>
      <c r="J63" s="33">
        <f>J87+J64</f>
        <v>520364.1</v>
      </c>
      <c r="K63" s="32">
        <f>K87+K64</f>
        <v>223730.19999999998</v>
      </c>
      <c r="P63" s="57">
        <f t="shared" si="1"/>
        <v>675063.3</v>
      </c>
    </row>
    <row r="64" spans="1:16" s="5" customFormat="1" ht="36" customHeight="1">
      <c r="A64" s="25"/>
      <c r="B64" s="30" t="s">
        <v>119</v>
      </c>
      <c r="C64" s="23" t="s">
        <v>17</v>
      </c>
      <c r="D64" s="33">
        <f>D69+D77</f>
        <v>124839</v>
      </c>
      <c r="E64" s="33">
        <f>E69+E77</f>
        <v>177677.30000000002</v>
      </c>
      <c r="F64" s="33">
        <f>F69+F77</f>
        <v>52838.3</v>
      </c>
      <c r="G64" s="33"/>
      <c r="H64" s="15">
        <f>SUM(H65:H76)</f>
        <v>46885.829999999994</v>
      </c>
      <c r="I64" s="15">
        <f>SUM(I66:I76)</f>
        <v>48521.4</v>
      </c>
      <c r="J64" s="33">
        <f>SUM(J66:J76)</f>
        <v>150950.3</v>
      </c>
      <c r="K64" s="33">
        <f>SUM(K66:K76)</f>
        <v>26111.299999999996</v>
      </c>
      <c r="P64" s="57">
        <f t="shared" si="1"/>
        <v>177677.3</v>
      </c>
    </row>
    <row r="65" spans="1:16" s="5" customFormat="1" ht="82.5" customHeight="1" hidden="1">
      <c r="A65" s="25" t="s">
        <v>25</v>
      </c>
      <c r="B65" s="28" t="s">
        <v>66</v>
      </c>
      <c r="C65" s="25" t="s">
        <v>17</v>
      </c>
      <c r="D65" s="38"/>
      <c r="E65" s="38"/>
      <c r="F65" s="38"/>
      <c r="G65" s="38"/>
      <c r="H65" s="35">
        <v>10000</v>
      </c>
      <c r="I65" s="39"/>
      <c r="J65" s="38"/>
      <c r="K65" s="38"/>
      <c r="P65" s="57">
        <f t="shared" si="1"/>
        <v>0</v>
      </c>
    </row>
    <row r="66" spans="1:16" s="5" customFormat="1" ht="49.5" customHeight="1" hidden="1">
      <c r="A66" s="34">
        <v>6</v>
      </c>
      <c r="B66" s="28" t="s">
        <v>112</v>
      </c>
      <c r="C66" s="25" t="s">
        <v>17</v>
      </c>
      <c r="D66" s="96"/>
      <c r="E66" s="96"/>
      <c r="F66" s="96"/>
      <c r="G66" s="96"/>
      <c r="H66" s="35"/>
      <c r="I66" s="35"/>
      <c r="J66" s="96"/>
      <c r="K66" s="37"/>
      <c r="P66" s="57">
        <f t="shared" si="1"/>
        <v>0</v>
      </c>
    </row>
    <row r="67" spans="1:16" s="5" customFormat="1" ht="49.5" customHeight="1" hidden="1">
      <c r="A67" s="34">
        <v>7</v>
      </c>
      <c r="B67" s="28" t="s">
        <v>113</v>
      </c>
      <c r="C67" s="25" t="s">
        <v>17</v>
      </c>
      <c r="D67" s="96"/>
      <c r="E67" s="96"/>
      <c r="F67" s="96"/>
      <c r="G67" s="97"/>
      <c r="H67" s="35"/>
      <c r="I67" s="35"/>
      <c r="J67" s="97"/>
      <c r="K67" s="36"/>
      <c r="P67" s="57">
        <f t="shared" si="1"/>
        <v>0</v>
      </c>
    </row>
    <row r="68" spans="1:16" s="5" customFormat="1" ht="69.75" customHeight="1">
      <c r="A68" s="34"/>
      <c r="B68" s="30" t="s">
        <v>153</v>
      </c>
      <c r="C68" s="23" t="s">
        <v>17</v>
      </c>
      <c r="D68" s="33">
        <f>D64</f>
        <v>124839</v>
      </c>
      <c r="E68" s="33">
        <f>E64</f>
        <v>177677.30000000002</v>
      </c>
      <c r="F68" s="33">
        <f>F64</f>
        <v>52838.3</v>
      </c>
      <c r="G68" s="97"/>
      <c r="H68" s="35"/>
      <c r="I68" s="35"/>
      <c r="J68" s="97"/>
      <c r="K68" s="36"/>
      <c r="P68" s="57"/>
    </row>
    <row r="69" spans="1:16" s="5" customFormat="1" ht="115.5" customHeight="1">
      <c r="A69" s="34"/>
      <c r="B69" s="30" t="s">
        <v>125</v>
      </c>
      <c r="C69" s="23" t="s">
        <v>17</v>
      </c>
      <c r="D69" s="38">
        <f>SUM(D70:D76)</f>
        <v>124839</v>
      </c>
      <c r="E69" s="38">
        <f>SUM(E70:E76)</f>
        <v>167787.30000000002</v>
      </c>
      <c r="F69" s="38">
        <f>SUM(F70:F76)</f>
        <v>42948.3</v>
      </c>
      <c r="G69" s="97"/>
      <c r="H69" s="35"/>
      <c r="I69" s="35"/>
      <c r="J69" s="97"/>
      <c r="K69" s="36"/>
      <c r="P69" s="57">
        <f t="shared" si="1"/>
        <v>167787.3</v>
      </c>
    </row>
    <row r="70" spans="1:16" s="5" customFormat="1" ht="80.25" customHeight="1">
      <c r="A70" s="34">
        <v>16</v>
      </c>
      <c r="B70" s="28" t="s">
        <v>152</v>
      </c>
      <c r="C70" s="25" t="s">
        <v>17</v>
      </c>
      <c r="D70" s="96">
        <v>24353</v>
      </c>
      <c r="E70" s="22">
        <f aca="true" t="shared" si="5" ref="E70:E86">D70+F70</f>
        <v>23289.5</v>
      </c>
      <c r="F70" s="96">
        <v>-1063.5</v>
      </c>
      <c r="G70" s="85" t="s">
        <v>93</v>
      </c>
      <c r="H70" s="35"/>
      <c r="I70" s="35"/>
      <c r="J70" s="96">
        <v>30843</v>
      </c>
      <c r="K70" s="37">
        <f>J70-D70</f>
        <v>6490</v>
      </c>
      <c r="L70" s="40"/>
      <c r="M70" s="40"/>
      <c r="P70" s="57">
        <f t="shared" si="1"/>
        <v>23289.5</v>
      </c>
    </row>
    <row r="71" spans="1:16" s="5" customFormat="1" ht="52.5" customHeight="1">
      <c r="A71" s="34">
        <v>17</v>
      </c>
      <c r="B71" s="28" t="s">
        <v>67</v>
      </c>
      <c r="C71" s="25" t="s">
        <v>17</v>
      </c>
      <c r="D71" s="96">
        <v>28058.4</v>
      </c>
      <c r="E71" s="21">
        <f t="shared" si="5"/>
        <v>41700</v>
      </c>
      <c r="F71" s="96">
        <f>-242+13883.6</f>
        <v>13641.6</v>
      </c>
      <c r="G71" s="85" t="s">
        <v>19</v>
      </c>
      <c r="H71" s="35">
        <v>7583.1</v>
      </c>
      <c r="I71" s="35">
        <v>10097.6</v>
      </c>
      <c r="J71" s="96">
        <v>29623.8</v>
      </c>
      <c r="K71" s="37">
        <f aca="true" t="shared" si="6" ref="K71:K76">J71-D71</f>
        <v>1565.3999999999978</v>
      </c>
      <c r="L71" s="40"/>
      <c r="M71" s="40"/>
      <c r="P71" s="57">
        <f t="shared" si="1"/>
        <v>41700</v>
      </c>
    </row>
    <row r="72" spans="1:16" s="5" customFormat="1" ht="52.5" customHeight="1">
      <c r="A72" s="34">
        <v>18</v>
      </c>
      <c r="B72" s="28" t="s">
        <v>68</v>
      </c>
      <c r="C72" s="25" t="s">
        <v>17</v>
      </c>
      <c r="D72" s="96">
        <v>27023.1</v>
      </c>
      <c r="E72" s="22">
        <f t="shared" si="5"/>
        <v>32400.5</v>
      </c>
      <c r="F72" s="96">
        <f>-1206.6+6584</f>
        <v>5377.4</v>
      </c>
      <c r="G72" s="85" t="s">
        <v>19</v>
      </c>
      <c r="H72" s="35">
        <v>7399.69</v>
      </c>
      <c r="I72" s="35">
        <v>9878.7</v>
      </c>
      <c r="J72" s="96">
        <v>27494</v>
      </c>
      <c r="K72" s="37">
        <f t="shared" si="6"/>
        <v>470.90000000000146</v>
      </c>
      <c r="L72" s="40"/>
      <c r="P72" s="57">
        <f t="shared" si="1"/>
        <v>32400.5</v>
      </c>
    </row>
    <row r="73" spans="1:16" s="5" customFormat="1" ht="52.5" customHeight="1">
      <c r="A73" s="34">
        <v>19</v>
      </c>
      <c r="B73" s="28" t="s">
        <v>69</v>
      </c>
      <c r="C73" s="25" t="s">
        <v>17</v>
      </c>
      <c r="D73" s="96">
        <v>7730.6</v>
      </c>
      <c r="E73" s="22">
        <f t="shared" si="5"/>
        <v>8636.1</v>
      </c>
      <c r="F73" s="96">
        <f>-1524.5+2430</f>
        <v>905.5</v>
      </c>
      <c r="G73" s="85" t="s">
        <v>19</v>
      </c>
      <c r="H73" s="35">
        <v>4897.69</v>
      </c>
      <c r="I73" s="35">
        <v>6262.5</v>
      </c>
      <c r="J73" s="96">
        <v>1357.4</v>
      </c>
      <c r="K73" s="37">
        <f t="shared" si="6"/>
        <v>-6373.200000000001</v>
      </c>
      <c r="L73" s="40"/>
      <c r="P73" s="57">
        <f t="shared" si="1"/>
        <v>8636.1</v>
      </c>
    </row>
    <row r="74" spans="1:16" s="5" customFormat="1" ht="52.5" customHeight="1">
      <c r="A74" s="34">
        <v>20</v>
      </c>
      <c r="B74" s="28" t="s">
        <v>201</v>
      </c>
      <c r="C74" s="25" t="s">
        <v>17</v>
      </c>
      <c r="D74" s="96">
        <v>6032.7</v>
      </c>
      <c r="E74" s="22">
        <f t="shared" si="5"/>
        <v>12815.099999999999</v>
      </c>
      <c r="F74" s="96">
        <v>6782.4</v>
      </c>
      <c r="G74" s="85" t="s">
        <v>19</v>
      </c>
      <c r="H74" s="35">
        <v>4031.83</v>
      </c>
      <c r="I74" s="35">
        <v>5184.5</v>
      </c>
      <c r="J74" s="96">
        <v>11799.8</v>
      </c>
      <c r="K74" s="37">
        <f t="shared" si="6"/>
        <v>5767.099999999999</v>
      </c>
      <c r="L74" s="40"/>
      <c r="P74" s="57">
        <f t="shared" si="1"/>
        <v>12815.099999999999</v>
      </c>
    </row>
    <row r="75" spans="1:16" s="5" customFormat="1" ht="52.5" customHeight="1">
      <c r="A75" s="34">
        <v>21</v>
      </c>
      <c r="B75" s="28" t="s">
        <v>96</v>
      </c>
      <c r="C75" s="25" t="s">
        <v>17</v>
      </c>
      <c r="D75" s="96">
        <v>4168.2</v>
      </c>
      <c r="E75" s="22">
        <f>D75+F75</f>
        <v>10895.2</v>
      </c>
      <c r="F75" s="96">
        <f>6099.3+627.7</f>
        <v>6727</v>
      </c>
      <c r="G75" s="85" t="s">
        <v>19</v>
      </c>
      <c r="H75" s="35">
        <v>3817.71</v>
      </c>
      <c r="I75" s="35">
        <v>4935.6</v>
      </c>
      <c r="J75" s="96">
        <v>10934.6</v>
      </c>
      <c r="K75" s="37">
        <f t="shared" si="6"/>
        <v>6766.400000000001</v>
      </c>
      <c r="P75" s="57">
        <f t="shared" si="1"/>
        <v>10895.2</v>
      </c>
    </row>
    <row r="76" spans="1:16" s="5" customFormat="1" ht="52.5" customHeight="1">
      <c r="A76" s="34">
        <v>22</v>
      </c>
      <c r="B76" s="28" t="s">
        <v>202</v>
      </c>
      <c r="C76" s="25" t="s">
        <v>17</v>
      </c>
      <c r="D76" s="96">
        <v>27473</v>
      </c>
      <c r="E76" s="22">
        <f t="shared" si="5"/>
        <v>38050.9</v>
      </c>
      <c r="F76" s="96">
        <f>9051.5+1526.4</f>
        <v>10577.9</v>
      </c>
      <c r="G76" s="85" t="s">
        <v>19</v>
      </c>
      <c r="H76" s="35">
        <v>9155.81</v>
      </c>
      <c r="I76" s="35">
        <v>12162.5</v>
      </c>
      <c r="J76" s="96">
        <v>38897.7</v>
      </c>
      <c r="K76" s="37">
        <f t="shared" si="6"/>
        <v>11424.699999999997</v>
      </c>
      <c r="P76" s="57">
        <f t="shared" si="1"/>
        <v>38050.9</v>
      </c>
    </row>
    <row r="77" spans="1:16" s="5" customFormat="1" ht="105" customHeight="1">
      <c r="A77" s="34"/>
      <c r="B77" s="30" t="s">
        <v>126</v>
      </c>
      <c r="C77" s="23" t="s">
        <v>17</v>
      </c>
      <c r="D77" s="33">
        <f>SUM(D78:D86)</f>
        <v>0</v>
      </c>
      <c r="E77" s="27">
        <f>SUM(E78:E86)</f>
        <v>9890</v>
      </c>
      <c r="F77" s="33">
        <f>SUM(F78:F86)</f>
        <v>9890</v>
      </c>
      <c r="G77" s="85"/>
      <c r="H77" s="35"/>
      <c r="I77" s="35"/>
      <c r="J77" s="96"/>
      <c r="K77" s="37"/>
      <c r="P77" s="57">
        <f t="shared" si="1"/>
        <v>9890</v>
      </c>
    </row>
    <row r="78" spans="1:16" s="5" customFormat="1" ht="104.25" customHeight="1">
      <c r="A78" s="34">
        <v>23</v>
      </c>
      <c r="B78" s="28" t="s">
        <v>154</v>
      </c>
      <c r="C78" s="25" t="s">
        <v>17</v>
      </c>
      <c r="D78" s="96"/>
      <c r="E78" s="22">
        <f t="shared" si="5"/>
        <v>929.3</v>
      </c>
      <c r="F78" s="96">
        <v>929.3</v>
      </c>
      <c r="G78" s="85" t="s">
        <v>19</v>
      </c>
      <c r="H78" s="35"/>
      <c r="I78" s="35"/>
      <c r="J78" s="96"/>
      <c r="K78" s="37"/>
      <c r="P78" s="57">
        <f t="shared" si="1"/>
        <v>929.3</v>
      </c>
    </row>
    <row r="79" spans="1:16" s="5" customFormat="1" ht="76.5" customHeight="1">
      <c r="A79" s="34">
        <v>24</v>
      </c>
      <c r="B79" s="28" t="s">
        <v>127</v>
      </c>
      <c r="C79" s="25" t="s">
        <v>17</v>
      </c>
      <c r="D79" s="96"/>
      <c r="E79" s="22">
        <f t="shared" si="5"/>
        <v>1440.4</v>
      </c>
      <c r="F79" s="96">
        <v>1440.4</v>
      </c>
      <c r="G79" s="85" t="s">
        <v>19</v>
      </c>
      <c r="H79" s="35"/>
      <c r="I79" s="35"/>
      <c r="J79" s="96"/>
      <c r="K79" s="37"/>
      <c r="P79" s="57">
        <f t="shared" si="1"/>
        <v>1440.4</v>
      </c>
    </row>
    <row r="80" spans="1:16" s="5" customFormat="1" ht="90.75" customHeight="1">
      <c r="A80" s="34">
        <v>25</v>
      </c>
      <c r="B80" s="28" t="s">
        <v>128</v>
      </c>
      <c r="C80" s="25" t="s">
        <v>17</v>
      </c>
      <c r="D80" s="96"/>
      <c r="E80" s="22">
        <f t="shared" si="5"/>
        <v>1261.1</v>
      </c>
      <c r="F80" s="96">
        <v>1261.1</v>
      </c>
      <c r="G80" s="85" t="s">
        <v>19</v>
      </c>
      <c r="H80" s="35"/>
      <c r="I80" s="35"/>
      <c r="J80" s="96"/>
      <c r="K80" s="37"/>
      <c r="P80" s="57">
        <f t="shared" si="1"/>
        <v>1261.1</v>
      </c>
    </row>
    <row r="81" spans="1:16" s="5" customFormat="1" ht="85.5" customHeight="1">
      <c r="A81" s="34">
        <v>26</v>
      </c>
      <c r="B81" s="28" t="s">
        <v>129</v>
      </c>
      <c r="C81" s="25" t="s">
        <v>17</v>
      </c>
      <c r="D81" s="96"/>
      <c r="E81" s="22">
        <f t="shared" si="5"/>
        <v>1440.4</v>
      </c>
      <c r="F81" s="96">
        <v>1440.4</v>
      </c>
      <c r="G81" s="85" t="s">
        <v>19</v>
      </c>
      <c r="H81" s="35"/>
      <c r="I81" s="35"/>
      <c r="J81" s="96"/>
      <c r="K81" s="37"/>
      <c r="P81" s="57">
        <f t="shared" si="1"/>
        <v>1440.4</v>
      </c>
    </row>
    <row r="82" spans="1:16" s="5" customFormat="1" ht="99" customHeight="1">
      <c r="A82" s="34">
        <v>27</v>
      </c>
      <c r="B82" s="28" t="s">
        <v>155</v>
      </c>
      <c r="C82" s="25" t="s">
        <v>17</v>
      </c>
      <c r="D82" s="96"/>
      <c r="E82" s="22">
        <f t="shared" si="5"/>
        <v>929.3</v>
      </c>
      <c r="F82" s="96">
        <v>929.3</v>
      </c>
      <c r="G82" s="85" t="s">
        <v>19</v>
      </c>
      <c r="H82" s="35"/>
      <c r="I82" s="35"/>
      <c r="J82" s="96"/>
      <c r="K82" s="37"/>
      <c r="P82" s="57">
        <f t="shared" si="1"/>
        <v>929.3</v>
      </c>
    </row>
    <row r="83" spans="1:16" s="5" customFormat="1" ht="92.25" customHeight="1">
      <c r="A83" s="34">
        <v>28</v>
      </c>
      <c r="B83" s="28" t="s">
        <v>130</v>
      </c>
      <c r="C83" s="25" t="s">
        <v>17</v>
      </c>
      <c r="D83" s="96"/>
      <c r="E83" s="22">
        <f t="shared" si="5"/>
        <v>1128.4</v>
      </c>
      <c r="F83" s="96">
        <v>1128.4</v>
      </c>
      <c r="G83" s="85" t="s">
        <v>19</v>
      </c>
      <c r="H83" s="35"/>
      <c r="I83" s="35"/>
      <c r="J83" s="96"/>
      <c r="K83" s="37"/>
      <c r="P83" s="57">
        <f t="shared" si="1"/>
        <v>1128.4</v>
      </c>
    </row>
    <row r="84" spans="1:16" s="5" customFormat="1" ht="85.5" customHeight="1">
      <c r="A84" s="34">
        <v>29</v>
      </c>
      <c r="B84" s="28" t="s">
        <v>131</v>
      </c>
      <c r="C84" s="25" t="s">
        <v>17</v>
      </c>
      <c r="D84" s="96"/>
      <c r="E84" s="22">
        <f t="shared" si="5"/>
        <v>929.3</v>
      </c>
      <c r="F84" s="96">
        <v>929.3</v>
      </c>
      <c r="G84" s="85" t="s">
        <v>19</v>
      </c>
      <c r="H84" s="35"/>
      <c r="I84" s="35"/>
      <c r="J84" s="96"/>
      <c r="K84" s="37"/>
      <c r="P84" s="57">
        <f t="shared" si="1"/>
        <v>929.3</v>
      </c>
    </row>
    <row r="85" spans="1:16" s="5" customFormat="1" ht="69.75" customHeight="1">
      <c r="A85" s="34">
        <v>30</v>
      </c>
      <c r="B85" s="28" t="s">
        <v>132</v>
      </c>
      <c r="C85" s="25" t="s">
        <v>17</v>
      </c>
      <c r="D85" s="96"/>
      <c r="E85" s="22">
        <f t="shared" si="5"/>
        <v>1128.4</v>
      </c>
      <c r="F85" s="96">
        <v>1128.4</v>
      </c>
      <c r="G85" s="85" t="s">
        <v>19</v>
      </c>
      <c r="H85" s="35"/>
      <c r="I85" s="35"/>
      <c r="J85" s="96"/>
      <c r="K85" s="37"/>
      <c r="P85" s="57">
        <f t="shared" si="1"/>
        <v>1128.4</v>
      </c>
    </row>
    <row r="86" spans="1:16" s="5" customFormat="1" ht="52.5" customHeight="1">
      <c r="A86" s="34">
        <v>31</v>
      </c>
      <c r="B86" s="28" t="s">
        <v>133</v>
      </c>
      <c r="C86" s="25" t="s">
        <v>17</v>
      </c>
      <c r="D86" s="96"/>
      <c r="E86" s="22">
        <f t="shared" si="5"/>
        <v>703.4</v>
      </c>
      <c r="F86" s="96">
        <v>703.4</v>
      </c>
      <c r="G86" s="85" t="s">
        <v>19</v>
      </c>
      <c r="H86" s="35"/>
      <c r="I86" s="35"/>
      <c r="J86" s="96"/>
      <c r="K86" s="37"/>
      <c r="P86" s="57">
        <f t="shared" si="1"/>
        <v>703.4</v>
      </c>
    </row>
    <row r="87" spans="1:17" s="5" customFormat="1" ht="39.75" customHeight="1">
      <c r="A87" s="25"/>
      <c r="B87" s="30" t="s">
        <v>16</v>
      </c>
      <c r="C87" s="23" t="s">
        <v>17</v>
      </c>
      <c r="D87" s="33">
        <f>D90+D91+D92+D88+D89</f>
        <v>247560.00000000003</v>
      </c>
      <c r="E87" s="27">
        <f>E90+E91+E92+E88+E89</f>
        <v>497386</v>
      </c>
      <c r="F87" s="33">
        <f>F90+F91+F92+F88+F89</f>
        <v>249825.99999999997</v>
      </c>
      <c r="G87" s="33"/>
      <c r="H87" s="15">
        <f>SUM(H93:H96)</f>
        <v>196562.12</v>
      </c>
      <c r="I87" s="15">
        <f>SUM(I93:I96)</f>
        <v>448264.1</v>
      </c>
      <c r="J87" s="33">
        <f>SUM(J93:J96)</f>
        <v>369413.8</v>
      </c>
      <c r="K87" s="33">
        <f>SUM(K93:K96)</f>
        <v>197618.9</v>
      </c>
      <c r="M87" s="40"/>
      <c r="P87" s="57">
        <f t="shared" si="1"/>
        <v>497386</v>
      </c>
      <c r="Q87" s="57">
        <f>G87+E87</f>
        <v>497386</v>
      </c>
    </row>
    <row r="88" spans="1:16" s="5" customFormat="1" ht="49.5" customHeight="1">
      <c r="A88" s="34">
        <v>32</v>
      </c>
      <c r="B88" s="93" t="s">
        <v>144</v>
      </c>
      <c r="C88" s="25" t="s">
        <v>17</v>
      </c>
      <c r="D88" s="96"/>
      <c r="E88" s="21">
        <f>D88+F88</f>
        <v>4000</v>
      </c>
      <c r="F88" s="22">
        <v>4000</v>
      </c>
      <c r="G88" s="85" t="s">
        <v>19</v>
      </c>
      <c r="H88" s="35"/>
      <c r="I88" s="35"/>
      <c r="J88" s="97"/>
      <c r="K88" s="36"/>
      <c r="P88" s="57"/>
    </row>
    <row r="89" spans="1:16" s="5" customFormat="1" ht="49.5" customHeight="1">
      <c r="A89" s="34">
        <v>33</v>
      </c>
      <c r="B89" s="93" t="s">
        <v>145</v>
      </c>
      <c r="C89" s="25" t="s">
        <v>17</v>
      </c>
      <c r="D89" s="96"/>
      <c r="E89" s="21">
        <f>D89+F89</f>
        <v>3800</v>
      </c>
      <c r="F89" s="22">
        <v>3800</v>
      </c>
      <c r="G89" s="85" t="s">
        <v>19</v>
      </c>
      <c r="H89" s="35"/>
      <c r="I89" s="35"/>
      <c r="J89" s="97"/>
      <c r="K89" s="36"/>
      <c r="P89" s="57"/>
    </row>
    <row r="90" spans="1:16" s="5" customFormat="1" ht="55.5" customHeight="1">
      <c r="A90" s="81" t="s">
        <v>91</v>
      </c>
      <c r="B90" s="28" t="s">
        <v>151</v>
      </c>
      <c r="C90" s="25" t="s">
        <v>17</v>
      </c>
      <c r="D90" s="22">
        <v>25470.1</v>
      </c>
      <c r="E90" s="22">
        <f>D90+F90</f>
        <v>53390.899999999994</v>
      </c>
      <c r="F90" s="22">
        <f>23809.6+4111.2</f>
        <v>27920.8</v>
      </c>
      <c r="G90" s="85" t="s">
        <v>19</v>
      </c>
      <c r="H90" s="20">
        <v>45320.05</v>
      </c>
      <c r="I90" s="20">
        <v>43538</v>
      </c>
      <c r="J90" s="22">
        <v>55111</v>
      </c>
      <c r="K90" s="37">
        <f>J90-D90</f>
        <v>29640.9</v>
      </c>
      <c r="N90" s="40"/>
      <c r="P90" s="57">
        <f t="shared" si="1"/>
        <v>53390.899999999994</v>
      </c>
    </row>
    <row r="91" spans="1:16" s="5" customFormat="1" ht="55.5" customHeight="1">
      <c r="A91" s="81" t="s">
        <v>140</v>
      </c>
      <c r="B91" s="28" t="s">
        <v>150</v>
      </c>
      <c r="C91" s="25" t="s">
        <v>17</v>
      </c>
      <c r="D91" s="22">
        <v>50295</v>
      </c>
      <c r="E91" s="22">
        <f>D91+F91</f>
        <v>45806.1</v>
      </c>
      <c r="F91" s="22">
        <f>-6003.1+1514.2</f>
        <v>-4488.900000000001</v>
      </c>
      <c r="G91" s="85" t="s">
        <v>19</v>
      </c>
      <c r="H91" s="20">
        <v>48830.96</v>
      </c>
      <c r="I91" s="20">
        <v>47711.2</v>
      </c>
      <c r="J91" s="22">
        <v>47169.8</v>
      </c>
      <c r="K91" s="37">
        <f>J91-D91</f>
        <v>-3125.199999999997</v>
      </c>
      <c r="P91" s="57">
        <f t="shared" si="1"/>
        <v>45806.1</v>
      </c>
    </row>
    <row r="92" spans="1:16" s="5" customFormat="1" ht="29.25" customHeight="1">
      <c r="A92" s="81"/>
      <c r="B92" s="30" t="s">
        <v>134</v>
      </c>
      <c r="C92" s="25"/>
      <c r="D92" s="33">
        <f>D93+D94+D95+D96</f>
        <v>171794.90000000002</v>
      </c>
      <c r="E92" s="27">
        <f>E93+E94+E95+E96</f>
        <v>390389</v>
      </c>
      <c r="F92" s="33">
        <f>F93+F94+F95+F96</f>
        <v>218594.09999999998</v>
      </c>
      <c r="G92" s="85"/>
      <c r="H92" s="20"/>
      <c r="I92" s="20"/>
      <c r="J92" s="22"/>
      <c r="K92" s="37"/>
      <c r="P92" s="57">
        <f t="shared" si="1"/>
        <v>390389</v>
      </c>
    </row>
    <row r="93" spans="1:16" s="5" customFormat="1" ht="70.5" customHeight="1">
      <c r="A93" s="81" t="s">
        <v>147</v>
      </c>
      <c r="B93" s="28" t="s">
        <v>120</v>
      </c>
      <c r="C93" s="25" t="s">
        <v>17</v>
      </c>
      <c r="D93" s="22">
        <v>31808.6</v>
      </c>
      <c r="E93" s="22">
        <f>D93+F93</f>
        <v>58278.899999999994</v>
      </c>
      <c r="F93" s="22">
        <f>24619.8+1850.5</f>
        <v>26470.3</v>
      </c>
      <c r="G93" s="85" t="s">
        <v>19</v>
      </c>
      <c r="H93" s="20">
        <v>112558.8</v>
      </c>
      <c r="I93" s="20">
        <v>87816.3</v>
      </c>
      <c r="J93" s="22">
        <v>60095</v>
      </c>
      <c r="K93" s="37">
        <f>J93-D93</f>
        <v>28286.4</v>
      </c>
      <c r="P93" s="57">
        <f t="shared" si="1"/>
        <v>58278.899999999994</v>
      </c>
    </row>
    <row r="94" spans="1:16" s="5" customFormat="1" ht="55.5" customHeight="1">
      <c r="A94" s="81" t="s">
        <v>148</v>
      </c>
      <c r="B94" s="98" t="s">
        <v>203</v>
      </c>
      <c r="C94" s="25" t="s">
        <v>17</v>
      </c>
      <c r="D94" s="22">
        <v>41035.6</v>
      </c>
      <c r="E94" s="22">
        <f>D94+F94</f>
        <v>113171.29999999999</v>
      </c>
      <c r="F94" s="22">
        <f>61865.2+10270.5</f>
        <v>72135.7</v>
      </c>
      <c r="G94" s="85" t="s">
        <v>19</v>
      </c>
      <c r="H94" s="20">
        <v>27150.04</v>
      </c>
      <c r="I94" s="20">
        <v>118773.2</v>
      </c>
      <c r="J94" s="22">
        <v>109587</v>
      </c>
      <c r="K94" s="37">
        <f>J94-D94</f>
        <v>68551.4</v>
      </c>
      <c r="P94" s="57">
        <f t="shared" si="1"/>
        <v>113171.29999999999</v>
      </c>
    </row>
    <row r="95" spans="1:16" s="5" customFormat="1" ht="55.5" customHeight="1">
      <c r="A95" s="81" t="s">
        <v>149</v>
      </c>
      <c r="B95" s="98" t="s">
        <v>204</v>
      </c>
      <c r="C95" s="25" t="s">
        <v>17</v>
      </c>
      <c r="D95" s="22">
        <v>34064.4</v>
      </c>
      <c r="E95" s="22">
        <f>D95+F95</f>
        <v>83647.7</v>
      </c>
      <c r="F95" s="22">
        <f>35058.2+14525.1</f>
        <v>49583.299999999996</v>
      </c>
      <c r="G95" s="85" t="s">
        <v>19</v>
      </c>
      <c r="H95" s="20">
        <v>26525.88</v>
      </c>
      <c r="I95" s="20">
        <v>107672.2</v>
      </c>
      <c r="J95" s="22">
        <v>73614</v>
      </c>
      <c r="K95" s="37">
        <f>J95-D95</f>
        <v>39549.6</v>
      </c>
      <c r="P95" s="57">
        <f t="shared" si="1"/>
        <v>83647.7</v>
      </c>
    </row>
    <row r="96" spans="1:16" s="5" customFormat="1" ht="55.5" customHeight="1">
      <c r="A96" s="81" t="s">
        <v>179</v>
      </c>
      <c r="B96" s="28" t="s">
        <v>205</v>
      </c>
      <c r="C96" s="25" t="s">
        <v>17</v>
      </c>
      <c r="D96" s="22">
        <v>64886.3</v>
      </c>
      <c r="E96" s="22">
        <f>D96+F96</f>
        <v>135291.1</v>
      </c>
      <c r="F96" s="22">
        <f>53536.8+16868</f>
        <v>70404.8</v>
      </c>
      <c r="G96" s="85" t="s">
        <v>19</v>
      </c>
      <c r="H96" s="20">
        <v>30327.4</v>
      </c>
      <c r="I96" s="20">
        <v>134002.4</v>
      </c>
      <c r="J96" s="22">
        <v>126117.8</v>
      </c>
      <c r="K96" s="37">
        <f>J96-D96</f>
        <v>61231.5</v>
      </c>
      <c r="P96" s="57">
        <f t="shared" si="1"/>
        <v>135291.1</v>
      </c>
    </row>
    <row r="97" spans="1:16" s="5" customFormat="1" ht="24" customHeight="1">
      <c r="A97" s="23" t="s">
        <v>44</v>
      </c>
      <c r="B97" s="26" t="s">
        <v>196</v>
      </c>
      <c r="C97" s="25" t="s">
        <v>74</v>
      </c>
      <c r="D97" s="33">
        <f aca="true" t="shared" si="7" ref="D97:J98">D98</f>
        <v>0</v>
      </c>
      <c r="E97" s="27">
        <f t="shared" si="7"/>
        <v>3700</v>
      </c>
      <c r="F97" s="33">
        <f t="shared" si="7"/>
        <v>3700</v>
      </c>
      <c r="G97" s="33"/>
      <c r="H97" s="15">
        <f t="shared" si="7"/>
        <v>0</v>
      </c>
      <c r="I97" s="15">
        <f t="shared" si="7"/>
        <v>0</v>
      </c>
      <c r="J97" s="33">
        <f t="shared" si="7"/>
        <v>0</v>
      </c>
      <c r="K97" s="33"/>
      <c r="P97" s="57">
        <f t="shared" si="1"/>
        <v>3700</v>
      </c>
    </row>
    <row r="98" spans="1:16" s="5" customFormat="1" ht="49.5">
      <c r="A98" s="81"/>
      <c r="B98" s="26" t="s">
        <v>73</v>
      </c>
      <c r="C98" s="25" t="s">
        <v>74</v>
      </c>
      <c r="D98" s="33">
        <f t="shared" si="7"/>
        <v>0</v>
      </c>
      <c r="E98" s="27">
        <f t="shared" si="7"/>
        <v>3700</v>
      </c>
      <c r="F98" s="33">
        <f t="shared" si="7"/>
        <v>3700</v>
      </c>
      <c r="G98" s="33"/>
      <c r="H98" s="15">
        <f t="shared" si="7"/>
        <v>0</v>
      </c>
      <c r="I98" s="15">
        <f t="shared" si="7"/>
        <v>0</v>
      </c>
      <c r="J98" s="33">
        <f t="shared" si="7"/>
        <v>0</v>
      </c>
      <c r="K98" s="33"/>
      <c r="P98" s="57">
        <f t="shared" si="1"/>
        <v>3700</v>
      </c>
    </row>
    <row r="99" spans="1:16" s="5" customFormat="1" ht="49.5">
      <c r="A99" s="81" t="s">
        <v>180</v>
      </c>
      <c r="B99" s="93" t="s">
        <v>146</v>
      </c>
      <c r="C99" s="25" t="s">
        <v>74</v>
      </c>
      <c r="D99" s="22"/>
      <c r="E99" s="21">
        <f>D99+F99</f>
        <v>3700</v>
      </c>
      <c r="F99" s="22">
        <v>3700</v>
      </c>
      <c r="G99" s="85" t="s">
        <v>19</v>
      </c>
      <c r="H99" s="20"/>
      <c r="I99" s="20"/>
      <c r="J99" s="22"/>
      <c r="K99" s="22"/>
      <c r="P99" s="57">
        <f t="shared" si="1"/>
        <v>3700</v>
      </c>
    </row>
    <row r="100" spans="1:16" ht="24" customHeight="1">
      <c r="A100" s="23" t="s">
        <v>81</v>
      </c>
      <c r="B100" s="41" t="s">
        <v>5</v>
      </c>
      <c r="C100" s="23" t="s">
        <v>13</v>
      </c>
      <c r="D100" s="33">
        <f>D102</f>
        <v>6615</v>
      </c>
      <c r="E100" s="99">
        <f>E102</f>
        <v>7453.1006</v>
      </c>
      <c r="F100" s="33">
        <f>F102</f>
        <v>838.1006</v>
      </c>
      <c r="G100" s="27"/>
      <c r="H100" s="15">
        <f>H102</f>
        <v>6615</v>
      </c>
      <c r="I100" s="15">
        <f>I102</f>
        <v>0</v>
      </c>
      <c r="J100" s="27">
        <f>J102</f>
        <v>0</v>
      </c>
      <c r="K100" s="27"/>
      <c r="P100" s="57">
        <f t="shared" si="1"/>
        <v>7453.1006</v>
      </c>
    </row>
    <row r="101" spans="1:16" ht="20.25" customHeight="1">
      <c r="A101" s="23"/>
      <c r="B101" s="41" t="s">
        <v>157</v>
      </c>
      <c r="C101" s="23" t="s">
        <v>156</v>
      </c>
      <c r="D101" s="33">
        <f aca="true" t="shared" si="8" ref="D101:J102">D102</f>
        <v>6615</v>
      </c>
      <c r="E101" s="99">
        <f t="shared" si="8"/>
        <v>7453.1006</v>
      </c>
      <c r="F101" s="33">
        <f t="shared" si="8"/>
        <v>838.1006</v>
      </c>
      <c r="G101" s="27"/>
      <c r="H101" s="15">
        <f t="shared" si="8"/>
        <v>6615</v>
      </c>
      <c r="I101" s="15">
        <f t="shared" si="8"/>
        <v>0</v>
      </c>
      <c r="J101" s="27">
        <f t="shared" si="8"/>
        <v>0</v>
      </c>
      <c r="K101" s="27"/>
      <c r="P101" s="57">
        <f t="shared" si="1"/>
        <v>7453.1006</v>
      </c>
    </row>
    <row r="102" spans="1:16" ht="87" customHeight="1">
      <c r="A102" s="25"/>
      <c r="B102" s="30" t="s">
        <v>12</v>
      </c>
      <c r="C102" s="23" t="s">
        <v>156</v>
      </c>
      <c r="D102" s="33">
        <f t="shared" si="8"/>
        <v>6615</v>
      </c>
      <c r="E102" s="99">
        <f t="shared" si="8"/>
        <v>7453.1006</v>
      </c>
      <c r="F102" s="33">
        <f t="shared" si="8"/>
        <v>838.1006</v>
      </c>
      <c r="G102" s="27"/>
      <c r="H102" s="15">
        <f t="shared" si="8"/>
        <v>6615</v>
      </c>
      <c r="I102" s="15">
        <f t="shared" si="8"/>
        <v>0</v>
      </c>
      <c r="J102" s="27">
        <f t="shared" si="8"/>
        <v>0</v>
      </c>
      <c r="K102" s="27"/>
      <c r="P102" s="57">
        <f aca="true" t="shared" si="9" ref="P102:P185">F102+D102</f>
        <v>7453.1006</v>
      </c>
    </row>
    <row r="103" spans="1:16" ht="52.5" customHeight="1">
      <c r="A103" s="25" t="s">
        <v>181</v>
      </c>
      <c r="B103" s="28" t="s">
        <v>122</v>
      </c>
      <c r="C103" s="25" t="s">
        <v>156</v>
      </c>
      <c r="D103" s="22">
        <f>6615</f>
        <v>6615</v>
      </c>
      <c r="E103" s="100">
        <f>D103+F103</f>
        <v>7453.1006</v>
      </c>
      <c r="F103" s="22">
        <v>838.1006</v>
      </c>
      <c r="G103" s="85" t="s">
        <v>7</v>
      </c>
      <c r="H103" s="20">
        <v>6615</v>
      </c>
      <c r="I103" s="20"/>
      <c r="J103" s="21"/>
      <c r="K103" s="21"/>
      <c r="P103" s="57">
        <f t="shared" si="9"/>
        <v>7453.1006</v>
      </c>
    </row>
    <row r="104" spans="1:16" ht="21" customHeight="1">
      <c r="A104" s="23" t="s">
        <v>193</v>
      </c>
      <c r="B104" s="41" t="s">
        <v>45</v>
      </c>
      <c r="C104" s="23">
        <v>1100</v>
      </c>
      <c r="D104" s="33">
        <f aca="true" t="shared" si="10" ref="D104:K104">D105</f>
        <v>8490</v>
      </c>
      <c r="E104" s="33">
        <f t="shared" si="10"/>
        <v>52329.3</v>
      </c>
      <c r="F104" s="33">
        <f t="shared" si="10"/>
        <v>43839.3</v>
      </c>
      <c r="G104" s="27"/>
      <c r="H104" s="15">
        <f t="shared" si="10"/>
        <v>11641.74</v>
      </c>
      <c r="I104" s="15">
        <f t="shared" si="10"/>
        <v>10035.8</v>
      </c>
      <c r="J104" s="33">
        <f t="shared" si="10"/>
        <v>37782.1</v>
      </c>
      <c r="K104" s="27">
        <f t="shared" si="10"/>
        <v>20392</v>
      </c>
      <c r="P104" s="57">
        <f t="shared" si="9"/>
        <v>52329.3</v>
      </c>
    </row>
    <row r="105" spans="1:16" ht="37.5" customHeight="1">
      <c r="A105" s="23"/>
      <c r="B105" s="30" t="s">
        <v>46</v>
      </c>
      <c r="C105" s="41" t="s">
        <v>47</v>
      </c>
      <c r="D105" s="33">
        <f>D108+D109+D110+D112+D119+D120+D121+D122+D123+D125+D124+D113+D111+D118+D107</f>
        <v>8490</v>
      </c>
      <c r="E105" s="33">
        <f>E106</f>
        <v>52329.3</v>
      </c>
      <c r="F105" s="33">
        <f>F106</f>
        <v>43839.3</v>
      </c>
      <c r="G105" s="27"/>
      <c r="H105" s="15">
        <f>H108+H109+H110+H112+H119+H120+H121+H122+H123+H125+H124+H113+H111+H118+H107</f>
        <v>11641.74</v>
      </c>
      <c r="I105" s="15">
        <f>I108+I109+I110+I112+I119+I120+I121+I122+I123+I125+I124+I113+I111+I118+I107</f>
        <v>10035.8</v>
      </c>
      <c r="J105" s="33">
        <f>J108+J109+J110+J112+J119+J120+J121+J122+J123+J125+J124+J113+J111+J118+J107+J117</f>
        <v>37782.1</v>
      </c>
      <c r="K105" s="27">
        <f>K108+K109+K110+K112+K119+K120+K121+K122+K123+K125+K124+K113+K111+K118+K107</f>
        <v>20392</v>
      </c>
      <c r="P105" s="57">
        <f t="shared" si="9"/>
        <v>52329.3</v>
      </c>
    </row>
    <row r="106" spans="1:16" ht="52.5" customHeight="1">
      <c r="A106" s="25"/>
      <c r="B106" s="42" t="s">
        <v>48</v>
      </c>
      <c r="C106" s="41" t="s">
        <v>47</v>
      </c>
      <c r="D106" s="33">
        <f>D109+D117+D110+D112+D113+D111+D128</f>
        <v>8490</v>
      </c>
      <c r="E106" s="33">
        <f>E109+E117+E110+E112+E113+E111+E128+E114+E115</f>
        <v>52329.3</v>
      </c>
      <c r="F106" s="33">
        <f>F109+F117+F110+F112+F113+F111+F128+F114+F115</f>
        <v>43839.3</v>
      </c>
      <c r="G106" s="85"/>
      <c r="H106" s="27">
        <f>H104</f>
        <v>11641.74</v>
      </c>
      <c r="I106" s="27">
        <f>I104</f>
        <v>10035.8</v>
      </c>
      <c r="J106" s="33">
        <f>J104</f>
        <v>37782.1</v>
      </c>
      <c r="K106" s="27">
        <f>K104</f>
        <v>20392</v>
      </c>
      <c r="P106" s="57">
        <f t="shared" si="9"/>
        <v>52329.3</v>
      </c>
    </row>
    <row r="107" spans="1:16" ht="71.25" customHeight="1" hidden="1">
      <c r="A107" s="25" t="s">
        <v>82</v>
      </c>
      <c r="B107" s="31" t="s">
        <v>98</v>
      </c>
      <c r="C107" s="34" t="s">
        <v>47</v>
      </c>
      <c r="D107" s="22"/>
      <c r="E107" s="22">
        <f aca="true" t="shared" si="11" ref="E107:E115">D107+F107</f>
        <v>0</v>
      </c>
      <c r="F107" s="22"/>
      <c r="G107" s="21"/>
      <c r="H107" s="20"/>
      <c r="I107" s="20"/>
      <c r="J107" s="21"/>
      <c r="K107" s="21"/>
      <c r="P107" s="57">
        <f t="shared" si="9"/>
        <v>0</v>
      </c>
    </row>
    <row r="108" spans="1:16" ht="57.75" customHeight="1" hidden="1">
      <c r="A108" s="25" t="s">
        <v>83</v>
      </c>
      <c r="B108" s="31" t="s">
        <v>49</v>
      </c>
      <c r="C108" s="34" t="s">
        <v>47</v>
      </c>
      <c r="D108" s="22"/>
      <c r="E108" s="22">
        <f t="shared" si="11"/>
        <v>0</v>
      </c>
      <c r="F108" s="22"/>
      <c r="G108" s="21"/>
      <c r="H108" s="20"/>
      <c r="I108" s="20"/>
      <c r="J108" s="21"/>
      <c r="K108" s="21"/>
      <c r="P108" s="57">
        <f t="shared" si="9"/>
        <v>0</v>
      </c>
    </row>
    <row r="109" spans="1:16" ht="58.5" customHeight="1">
      <c r="A109" s="25" t="s">
        <v>182</v>
      </c>
      <c r="B109" s="31" t="s">
        <v>135</v>
      </c>
      <c r="C109" s="34" t="s">
        <v>47</v>
      </c>
      <c r="D109" s="22"/>
      <c r="E109" s="22">
        <f t="shared" si="11"/>
        <v>9101.099999999999</v>
      </c>
      <c r="F109" s="22">
        <f>2854.2+6246.9</f>
        <v>9101.099999999999</v>
      </c>
      <c r="G109" s="85" t="s">
        <v>19</v>
      </c>
      <c r="H109" s="20"/>
      <c r="I109" s="20"/>
      <c r="J109" s="43">
        <v>3039.6</v>
      </c>
      <c r="K109" s="37">
        <f>J109-D109</f>
        <v>3039.6</v>
      </c>
      <c r="P109" s="57">
        <f t="shared" si="9"/>
        <v>9101.099999999999</v>
      </c>
    </row>
    <row r="110" spans="1:16" ht="74.25" customHeight="1">
      <c r="A110" s="25" t="s">
        <v>183</v>
      </c>
      <c r="B110" s="31" t="s">
        <v>136</v>
      </c>
      <c r="C110" s="34" t="s">
        <v>47</v>
      </c>
      <c r="D110" s="22"/>
      <c r="E110" s="22">
        <f>D110+F110</f>
        <v>9929.1</v>
      </c>
      <c r="F110" s="22">
        <f>9496.7+432.4</f>
        <v>9929.1</v>
      </c>
      <c r="G110" s="85" t="s">
        <v>19</v>
      </c>
      <c r="H110" s="20"/>
      <c r="I110" s="20"/>
      <c r="J110" s="22">
        <v>10113.7</v>
      </c>
      <c r="K110" s="37">
        <f>J110-D110</f>
        <v>10113.7</v>
      </c>
      <c r="P110" s="57">
        <f t="shared" si="9"/>
        <v>9929.1</v>
      </c>
    </row>
    <row r="111" spans="1:16" ht="70.5" customHeight="1">
      <c r="A111" s="25" t="s">
        <v>184</v>
      </c>
      <c r="B111" s="31" t="s">
        <v>71</v>
      </c>
      <c r="C111" s="34" t="s">
        <v>47</v>
      </c>
      <c r="D111" s="22">
        <v>8490</v>
      </c>
      <c r="E111" s="21">
        <f>D111+F111</f>
        <v>9955</v>
      </c>
      <c r="F111" s="22">
        <f>911.3+553.7</f>
        <v>1465</v>
      </c>
      <c r="G111" s="85" t="s">
        <v>19</v>
      </c>
      <c r="H111" s="20">
        <v>11641.74</v>
      </c>
      <c r="I111" s="20">
        <v>10035.8</v>
      </c>
      <c r="J111" s="22">
        <v>10012.1</v>
      </c>
      <c r="K111" s="37">
        <f>J111-D111</f>
        <v>1522.1000000000004</v>
      </c>
      <c r="P111" s="57">
        <f t="shared" si="9"/>
        <v>9955</v>
      </c>
    </row>
    <row r="112" spans="1:16" ht="69.75" customHeight="1">
      <c r="A112" s="25" t="s">
        <v>185</v>
      </c>
      <c r="B112" s="28" t="s">
        <v>211</v>
      </c>
      <c r="C112" s="34" t="s">
        <v>47</v>
      </c>
      <c r="D112" s="22"/>
      <c r="E112" s="22">
        <f t="shared" si="11"/>
        <v>2632.5</v>
      </c>
      <c r="F112" s="22">
        <v>2632.5</v>
      </c>
      <c r="G112" s="85" t="s">
        <v>19</v>
      </c>
      <c r="H112" s="20"/>
      <c r="I112" s="20"/>
      <c r="J112" s="22">
        <v>2803.5</v>
      </c>
      <c r="K112" s="37">
        <f>J112-D112</f>
        <v>2803.5</v>
      </c>
      <c r="P112" s="57">
        <f t="shared" si="9"/>
        <v>2632.5</v>
      </c>
    </row>
    <row r="113" spans="1:16" ht="63.75" customHeight="1">
      <c r="A113" s="25" t="s">
        <v>186</v>
      </c>
      <c r="B113" s="31" t="s">
        <v>72</v>
      </c>
      <c r="C113" s="34" t="s">
        <v>47</v>
      </c>
      <c r="D113" s="22"/>
      <c r="E113" s="22">
        <f t="shared" si="11"/>
        <v>2735.3</v>
      </c>
      <c r="F113" s="22">
        <v>2735.3</v>
      </c>
      <c r="G113" s="85" t="s">
        <v>19</v>
      </c>
      <c r="H113" s="20"/>
      <c r="I113" s="20"/>
      <c r="J113" s="22">
        <v>2913.1</v>
      </c>
      <c r="K113" s="37">
        <f>J113-D113</f>
        <v>2913.1</v>
      </c>
      <c r="P113" s="57">
        <f t="shared" si="9"/>
        <v>2735.3</v>
      </c>
    </row>
    <row r="114" spans="1:16" ht="72.75" customHeight="1">
      <c r="A114" s="25" t="s">
        <v>187</v>
      </c>
      <c r="B114" s="31" t="s">
        <v>191</v>
      </c>
      <c r="C114" s="34" t="s">
        <v>47</v>
      </c>
      <c r="D114" s="22"/>
      <c r="E114" s="22">
        <f t="shared" si="11"/>
        <v>2633.6</v>
      </c>
      <c r="F114" s="22">
        <v>2633.6</v>
      </c>
      <c r="G114" s="85" t="s">
        <v>19</v>
      </c>
      <c r="H114" s="20"/>
      <c r="I114" s="20"/>
      <c r="J114" s="22"/>
      <c r="K114" s="37"/>
      <c r="P114" s="57">
        <f t="shared" si="9"/>
        <v>2633.6</v>
      </c>
    </row>
    <row r="115" spans="1:16" ht="77.25" customHeight="1">
      <c r="A115" s="25" t="s">
        <v>188</v>
      </c>
      <c r="B115" s="31" t="s">
        <v>195</v>
      </c>
      <c r="C115" s="34" t="s">
        <v>47</v>
      </c>
      <c r="D115" s="22"/>
      <c r="E115" s="22">
        <f t="shared" si="11"/>
        <v>2633.6</v>
      </c>
      <c r="F115" s="22">
        <v>2633.6</v>
      </c>
      <c r="G115" s="85" t="s">
        <v>19</v>
      </c>
      <c r="H115" s="20"/>
      <c r="I115" s="20"/>
      <c r="J115" s="22"/>
      <c r="K115" s="37"/>
      <c r="P115" s="57">
        <f t="shared" si="9"/>
        <v>2633.6</v>
      </c>
    </row>
    <row r="116" spans="1:16" ht="41.25" customHeight="1">
      <c r="A116" s="25"/>
      <c r="B116" s="42" t="s">
        <v>139</v>
      </c>
      <c r="C116" s="23" t="s">
        <v>47</v>
      </c>
      <c r="D116" s="33">
        <f>D117+D128</f>
        <v>0</v>
      </c>
      <c r="E116" s="33">
        <f>E117+E128</f>
        <v>12709.100000000002</v>
      </c>
      <c r="F116" s="33">
        <f>F117+F128</f>
        <v>12709.100000000002</v>
      </c>
      <c r="G116" s="22"/>
      <c r="H116" s="20"/>
      <c r="I116" s="20"/>
      <c r="J116" s="22"/>
      <c r="K116" s="37"/>
      <c r="P116" s="57">
        <f t="shared" si="9"/>
        <v>12709.100000000002</v>
      </c>
    </row>
    <row r="117" spans="1:16" ht="66.75" customHeight="1">
      <c r="A117" s="25" t="s">
        <v>189</v>
      </c>
      <c r="B117" s="31" t="s">
        <v>137</v>
      </c>
      <c r="C117" s="25" t="s">
        <v>47</v>
      </c>
      <c r="D117" s="22"/>
      <c r="E117" s="22">
        <f>D117+F117</f>
        <v>8511.800000000001</v>
      </c>
      <c r="F117" s="22">
        <f>8357.1+154.7</f>
        <v>8511.800000000001</v>
      </c>
      <c r="G117" s="85" t="s">
        <v>19</v>
      </c>
      <c r="H117" s="20"/>
      <c r="I117" s="20"/>
      <c r="J117" s="43">
        <v>8900.1</v>
      </c>
      <c r="K117" s="37">
        <f>J117-D117</f>
        <v>8900.1</v>
      </c>
      <c r="P117" s="57">
        <f t="shared" si="9"/>
        <v>8511.800000000001</v>
      </c>
    </row>
    <row r="118" spans="1:16" ht="69.75" customHeight="1" hidden="1">
      <c r="A118" s="25" t="s">
        <v>79</v>
      </c>
      <c r="B118" s="31" t="s">
        <v>97</v>
      </c>
      <c r="C118" s="34" t="s">
        <v>47</v>
      </c>
      <c r="D118" s="22"/>
      <c r="E118" s="22">
        <f aca="true" t="shared" si="12" ref="E118:E128">D118+F118</f>
        <v>0</v>
      </c>
      <c r="F118" s="22"/>
      <c r="G118" s="85" t="s">
        <v>19</v>
      </c>
      <c r="H118" s="20"/>
      <c r="I118" s="20"/>
      <c r="J118" s="21"/>
      <c r="K118" s="21"/>
      <c r="P118" s="57">
        <f t="shared" si="9"/>
        <v>0</v>
      </c>
    </row>
    <row r="119" spans="1:16" ht="56.25" customHeight="1" hidden="1">
      <c r="A119" s="25" t="s">
        <v>84</v>
      </c>
      <c r="B119" s="44" t="s">
        <v>55</v>
      </c>
      <c r="C119" s="34" t="s">
        <v>47</v>
      </c>
      <c r="D119" s="22"/>
      <c r="E119" s="22">
        <f t="shared" si="12"/>
        <v>0</v>
      </c>
      <c r="F119" s="22"/>
      <c r="G119" s="85" t="s">
        <v>19</v>
      </c>
      <c r="H119" s="20"/>
      <c r="I119" s="20"/>
      <c r="J119" s="22"/>
      <c r="K119" s="22"/>
      <c r="P119" s="57">
        <f t="shared" si="9"/>
        <v>0</v>
      </c>
    </row>
    <row r="120" spans="1:16" ht="59.25" customHeight="1" hidden="1">
      <c r="A120" s="25" t="s">
        <v>85</v>
      </c>
      <c r="B120" s="44" t="s">
        <v>56</v>
      </c>
      <c r="C120" s="34" t="s">
        <v>47</v>
      </c>
      <c r="D120" s="22"/>
      <c r="E120" s="22">
        <f t="shared" si="12"/>
        <v>0</v>
      </c>
      <c r="F120" s="22"/>
      <c r="G120" s="85" t="s">
        <v>19</v>
      </c>
      <c r="H120" s="20"/>
      <c r="I120" s="20"/>
      <c r="J120" s="22"/>
      <c r="K120" s="22"/>
      <c r="P120" s="57">
        <f t="shared" si="9"/>
        <v>0</v>
      </c>
    </row>
    <row r="121" spans="1:16" ht="55.5" customHeight="1" hidden="1">
      <c r="A121" s="25" t="s">
        <v>86</v>
      </c>
      <c r="B121" s="45" t="s">
        <v>57</v>
      </c>
      <c r="C121" s="34" t="s">
        <v>47</v>
      </c>
      <c r="D121" s="22"/>
      <c r="E121" s="22">
        <f t="shared" si="12"/>
        <v>0</v>
      </c>
      <c r="F121" s="22"/>
      <c r="G121" s="85" t="s">
        <v>19</v>
      </c>
      <c r="H121" s="20"/>
      <c r="I121" s="20"/>
      <c r="J121" s="22"/>
      <c r="K121" s="22"/>
      <c r="P121" s="57">
        <f t="shared" si="9"/>
        <v>0</v>
      </c>
    </row>
    <row r="122" spans="1:16" ht="70.5" customHeight="1" hidden="1">
      <c r="A122" s="25" t="s">
        <v>87</v>
      </c>
      <c r="B122" s="46" t="s">
        <v>58</v>
      </c>
      <c r="C122" s="34" t="s">
        <v>47</v>
      </c>
      <c r="D122" s="22"/>
      <c r="E122" s="22">
        <f t="shared" si="12"/>
        <v>0</v>
      </c>
      <c r="F122" s="22"/>
      <c r="G122" s="85" t="s">
        <v>19</v>
      </c>
      <c r="H122" s="20"/>
      <c r="I122" s="20"/>
      <c r="J122" s="22"/>
      <c r="K122" s="22"/>
      <c r="P122" s="57">
        <f t="shared" si="9"/>
        <v>0</v>
      </c>
    </row>
    <row r="123" spans="1:16" ht="57.75" customHeight="1" hidden="1">
      <c r="A123" s="25" t="s">
        <v>88</v>
      </c>
      <c r="B123" s="46" t="s">
        <v>59</v>
      </c>
      <c r="C123" s="34" t="s">
        <v>47</v>
      </c>
      <c r="D123" s="22"/>
      <c r="E123" s="22">
        <f t="shared" si="12"/>
        <v>0</v>
      </c>
      <c r="F123" s="22"/>
      <c r="G123" s="85" t="s">
        <v>19</v>
      </c>
      <c r="H123" s="20"/>
      <c r="I123" s="20"/>
      <c r="J123" s="22"/>
      <c r="K123" s="22"/>
      <c r="P123" s="57">
        <f t="shared" si="9"/>
        <v>0</v>
      </c>
    </row>
    <row r="124" spans="1:16" ht="67.5" customHeight="1" hidden="1">
      <c r="A124" s="25" t="s">
        <v>89</v>
      </c>
      <c r="B124" s="46" t="s">
        <v>60</v>
      </c>
      <c r="C124" s="34" t="s">
        <v>47</v>
      </c>
      <c r="D124" s="22"/>
      <c r="E124" s="22">
        <f t="shared" si="12"/>
        <v>0</v>
      </c>
      <c r="F124" s="22"/>
      <c r="G124" s="85" t="s">
        <v>19</v>
      </c>
      <c r="H124" s="20"/>
      <c r="I124" s="20"/>
      <c r="J124" s="22"/>
      <c r="K124" s="22"/>
      <c r="P124" s="57">
        <f t="shared" si="9"/>
        <v>0</v>
      </c>
    </row>
    <row r="125" spans="1:16" ht="74.25" customHeight="1" hidden="1">
      <c r="A125" s="25" t="s">
        <v>90</v>
      </c>
      <c r="B125" s="46" t="s">
        <v>61</v>
      </c>
      <c r="C125" s="34" t="s">
        <v>47</v>
      </c>
      <c r="D125" s="22"/>
      <c r="E125" s="22">
        <f t="shared" si="12"/>
        <v>0</v>
      </c>
      <c r="F125" s="22"/>
      <c r="G125" s="85" t="s">
        <v>19</v>
      </c>
      <c r="H125" s="20"/>
      <c r="I125" s="20"/>
      <c r="J125" s="22"/>
      <c r="K125" s="22"/>
      <c r="P125" s="57">
        <f t="shared" si="9"/>
        <v>0</v>
      </c>
    </row>
    <row r="126" spans="1:16" ht="53.25" customHeight="1" hidden="1">
      <c r="A126" s="25"/>
      <c r="B126" s="46"/>
      <c r="C126" s="25"/>
      <c r="D126" s="22"/>
      <c r="E126" s="22">
        <f t="shared" si="12"/>
        <v>0</v>
      </c>
      <c r="F126" s="22"/>
      <c r="G126" s="85" t="s">
        <v>19</v>
      </c>
      <c r="H126" s="20"/>
      <c r="I126" s="20"/>
      <c r="J126" s="43"/>
      <c r="K126" s="43"/>
      <c r="P126" s="57">
        <f t="shared" si="9"/>
        <v>0</v>
      </c>
    </row>
    <row r="127" spans="1:16" ht="37.5" customHeight="1" hidden="1">
      <c r="A127" s="25"/>
      <c r="B127" s="28"/>
      <c r="C127" s="25"/>
      <c r="D127" s="22"/>
      <c r="E127" s="22">
        <f t="shared" si="12"/>
        <v>0</v>
      </c>
      <c r="F127" s="22"/>
      <c r="G127" s="85" t="s">
        <v>19</v>
      </c>
      <c r="H127" s="20"/>
      <c r="I127" s="20"/>
      <c r="J127" s="43"/>
      <c r="K127" s="43"/>
      <c r="P127" s="57">
        <f t="shared" si="9"/>
        <v>0</v>
      </c>
    </row>
    <row r="128" spans="1:16" ht="77.25" customHeight="1">
      <c r="A128" s="25" t="s">
        <v>190</v>
      </c>
      <c r="B128" s="31" t="s">
        <v>138</v>
      </c>
      <c r="C128" s="25" t="s">
        <v>47</v>
      </c>
      <c r="D128" s="22"/>
      <c r="E128" s="22">
        <f t="shared" si="12"/>
        <v>4197.3</v>
      </c>
      <c r="F128" s="22">
        <v>4197.3</v>
      </c>
      <c r="G128" s="85" t="s">
        <v>19</v>
      </c>
      <c r="H128" s="20"/>
      <c r="I128" s="20"/>
      <c r="J128" s="43"/>
      <c r="K128" s="43"/>
      <c r="P128" s="57">
        <f t="shared" si="9"/>
        <v>4197.3</v>
      </c>
    </row>
    <row r="129" spans="1:16" ht="27.75" customHeight="1">
      <c r="A129" s="111" t="s">
        <v>51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6"/>
      <c r="P129" s="57">
        <f t="shared" si="9"/>
        <v>0</v>
      </c>
    </row>
    <row r="130" spans="1:16" ht="27.75" customHeight="1">
      <c r="A130" s="23" t="s">
        <v>10</v>
      </c>
      <c r="B130" s="23" t="s">
        <v>65</v>
      </c>
      <c r="C130" s="23" t="s">
        <v>92</v>
      </c>
      <c r="D130" s="33">
        <f aca="true" t="shared" si="13" ref="D130:J130">D131</f>
        <v>0</v>
      </c>
      <c r="E130" s="33">
        <f t="shared" si="13"/>
        <v>55655.5</v>
      </c>
      <c r="F130" s="33">
        <f t="shared" si="13"/>
        <v>55655.5</v>
      </c>
      <c r="G130" s="33"/>
      <c r="H130" s="15">
        <f t="shared" si="13"/>
        <v>0</v>
      </c>
      <c r="I130" s="15">
        <f t="shared" si="13"/>
        <v>0</v>
      </c>
      <c r="J130" s="33">
        <f t="shared" si="13"/>
        <v>0</v>
      </c>
      <c r="K130" s="48"/>
      <c r="P130" s="57">
        <f t="shared" si="9"/>
        <v>55655.5</v>
      </c>
    </row>
    <row r="131" spans="1:16" ht="39.75" customHeight="1">
      <c r="A131" s="25"/>
      <c r="B131" s="76" t="s">
        <v>64</v>
      </c>
      <c r="C131" s="23" t="s">
        <v>63</v>
      </c>
      <c r="D131" s="33">
        <f>D133</f>
        <v>0</v>
      </c>
      <c r="E131" s="33">
        <f>E133+E134+E135+E136</f>
        <v>55655.5</v>
      </c>
      <c r="F131" s="33">
        <f>F133+F134+F135+F136</f>
        <v>55655.5</v>
      </c>
      <c r="G131" s="33"/>
      <c r="H131" s="15">
        <f>H133</f>
        <v>0</v>
      </c>
      <c r="I131" s="15">
        <f>I133</f>
        <v>0</v>
      </c>
      <c r="J131" s="33">
        <f>J133</f>
        <v>0</v>
      </c>
      <c r="K131" s="48"/>
      <c r="P131" s="57">
        <f t="shared" si="9"/>
        <v>55655.5</v>
      </c>
    </row>
    <row r="132" spans="1:16" ht="36.75" customHeight="1">
      <c r="A132" s="25"/>
      <c r="B132" s="79" t="s">
        <v>192</v>
      </c>
      <c r="C132" s="23"/>
      <c r="D132" s="33"/>
      <c r="E132" s="33"/>
      <c r="F132" s="33"/>
      <c r="G132" s="33"/>
      <c r="H132" s="15"/>
      <c r="I132" s="15"/>
      <c r="J132" s="33"/>
      <c r="K132" s="48"/>
      <c r="P132" s="57"/>
    </row>
    <row r="133" spans="1:16" ht="174.75" customHeight="1">
      <c r="A133" s="25" t="s">
        <v>25</v>
      </c>
      <c r="B133" s="28" t="s">
        <v>197</v>
      </c>
      <c r="C133" s="25" t="s">
        <v>63</v>
      </c>
      <c r="D133" s="22"/>
      <c r="E133" s="22">
        <f>D133+F133</f>
        <v>14396.5</v>
      </c>
      <c r="F133" s="22">
        <v>14396.5</v>
      </c>
      <c r="G133" s="85" t="s">
        <v>160</v>
      </c>
      <c r="H133" s="20"/>
      <c r="I133" s="20"/>
      <c r="J133" s="22"/>
      <c r="K133" s="52"/>
      <c r="P133" s="57">
        <f t="shared" si="9"/>
        <v>14396.5</v>
      </c>
    </row>
    <row r="134" spans="1:16" ht="122.25" customHeight="1">
      <c r="A134" s="25" t="s">
        <v>26</v>
      </c>
      <c r="B134" s="28" t="s">
        <v>198</v>
      </c>
      <c r="C134" s="25" t="s">
        <v>63</v>
      </c>
      <c r="D134" s="22"/>
      <c r="E134" s="22">
        <f>D134+F134</f>
        <v>16541.5</v>
      </c>
      <c r="F134" s="22">
        <v>16541.5</v>
      </c>
      <c r="G134" s="85" t="s">
        <v>160</v>
      </c>
      <c r="H134" s="20"/>
      <c r="I134" s="20"/>
      <c r="J134" s="22"/>
      <c r="K134" s="52"/>
      <c r="P134" s="57"/>
    </row>
    <row r="135" spans="1:16" ht="81.75" customHeight="1">
      <c r="A135" s="25" t="s">
        <v>27</v>
      </c>
      <c r="B135" s="28" t="s">
        <v>158</v>
      </c>
      <c r="C135" s="25" t="s">
        <v>63</v>
      </c>
      <c r="D135" s="22"/>
      <c r="E135" s="21">
        <f>D135+F135</f>
        <v>15898</v>
      </c>
      <c r="F135" s="22">
        <v>15898</v>
      </c>
      <c r="G135" s="85" t="s">
        <v>160</v>
      </c>
      <c r="H135" s="20"/>
      <c r="I135" s="20"/>
      <c r="J135" s="22"/>
      <c r="K135" s="52"/>
      <c r="P135" s="57"/>
    </row>
    <row r="136" spans="1:16" ht="75" customHeight="1">
      <c r="A136" s="25" t="s">
        <v>34</v>
      </c>
      <c r="B136" s="28" t="s">
        <v>159</v>
      </c>
      <c r="C136" s="25" t="s">
        <v>63</v>
      </c>
      <c r="D136" s="22"/>
      <c r="E136" s="22">
        <f>D136+F136</f>
        <v>8819.5</v>
      </c>
      <c r="F136" s="22">
        <v>8819.5</v>
      </c>
      <c r="G136" s="85" t="s">
        <v>160</v>
      </c>
      <c r="H136" s="20"/>
      <c r="I136" s="20"/>
      <c r="J136" s="22"/>
      <c r="K136" s="52"/>
      <c r="P136" s="57"/>
    </row>
    <row r="137" spans="1:16" ht="27.75" customHeight="1">
      <c r="A137" s="23" t="s">
        <v>18</v>
      </c>
      <c r="B137" s="26" t="s">
        <v>36</v>
      </c>
      <c r="C137" s="23" t="s">
        <v>37</v>
      </c>
      <c r="D137" s="33">
        <f>D138+D144</f>
        <v>0</v>
      </c>
      <c r="E137" s="77">
        <f>E138+E144</f>
        <v>271093.55934</v>
      </c>
      <c r="F137" s="77">
        <f>F138+F144</f>
        <v>271093.55934</v>
      </c>
      <c r="G137" s="77"/>
      <c r="H137" s="15">
        <f>H138+H144</f>
        <v>0</v>
      </c>
      <c r="I137" s="15">
        <f>I138+I144</f>
        <v>0</v>
      </c>
      <c r="J137" s="77">
        <f>J138+J144</f>
        <v>0</v>
      </c>
      <c r="K137" s="53"/>
      <c r="P137" s="57">
        <f t="shared" si="9"/>
        <v>271093.55934</v>
      </c>
    </row>
    <row r="138" spans="1:16" ht="27.75" customHeight="1">
      <c r="A138" s="23"/>
      <c r="B138" s="26" t="s">
        <v>117</v>
      </c>
      <c r="C138" s="23" t="s">
        <v>38</v>
      </c>
      <c r="D138" s="33">
        <f>D140</f>
        <v>0</v>
      </c>
      <c r="E138" s="77">
        <f>E140</f>
        <v>204419.85934</v>
      </c>
      <c r="F138" s="77">
        <f>F140</f>
        <v>204419.85934</v>
      </c>
      <c r="G138" s="77"/>
      <c r="H138" s="15">
        <f>H140</f>
        <v>0</v>
      </c>
      <c r="I138" s="15">
        <f>I140</f>
        <v>0</v>
      </c>
      <c r="J138" s="77">
        <f>J140</f>
        <v>0</v>
      </c>
      <c r="K138" s="53"/>
      <c r="P138" s="57">
        <f t="shared" si="9"/>
        <v>204419.85934</v>
      </c>
    </row>
    <row r="139" spans="1:16" ht="84" customHeight="1">
      <c r="A139" s="23"/>
      <c r="B139" s="28" t="s">
        <v>11</v>
      </c>
      <c r="C139" s="23" t="s">
        <v>38</v>
      </c>
      <c r="D139" s="33">
        <f>D140</f>
        <v>0</v>
      </c>
      <c r="E139" s="77">
        <f>E140</f>
        <v>204419.85934</v>
      </c>
      <c r="F139" s="77">
        <f>F140</f>
        <v>204419.85934</v>
      </c>
      <c r="G139" s="77"/>
      <c r="H139" s="15">
        <f>H140</f>
        <v>0</v>
      </c>
      <c r="I139" s="15">
        <f>I140</f>
        <v>0</v>
      </c>
      <c r="J139" s="77">
        <f>J140</f>
        <v>0</v>
      </c>
      <c r="K139" s="53"/>
      <c r="P139" s="57">
        <f t="shared" si="9"/>
        <v>204419.85934</v>
      </c>
    </row>
    <row r="140" spans="1:16" ht="55.5" customHeight="1">
      <c r="A140" s="25" t="s">
        <v>35</v>
      </c>
      <c r="B140" s="28" t="s">
        <v>39</v>
      </c>
      <c r="C140" s="25" t="s">
        <v>38</v>
      </c>
      <c r="D140" s="22"/>
      <c r="E140" s="78">
        <f>E143</f>
        <v>204419.85934</v>
      </c>
      <c r="F140" s="78">
        <f>F143</f>
        <v>204419.85934</v>
      </c>
      <c r="G140" s="85" t="s">
        <v>7</v>
      </c>
      <c r="H140" s="20"/>
      <c r="I140" s="20"/>
      <c r="J140" s="78"/>
      <c r="K140" s="54"/>
      <c r="P140" s="57">
        <f t="shared" si="9"/>
        <v>204419.85934</v>
      </c>
    </row>
    <row r="141" spans="1:16" ht="27.75" customHeight="1">
      <c r="A141" s="23"/>
      <c r="B141" s="79" t="s">
        <v>20</v>
      </c>
      <c r="C141" s="25"/>
      <c r="D141" s="33"/>
      <c r="E141" s="77"/>
      <c r="F141" s="33"/>
      <c r="G141" s="102"/>
      <c r="H141" s="15"/>
      <c r="I141" s="15"/>
      <c r="J141" s="102"/>
      <c r="K141" s="92"/>
      <c r="P141" s="57">
        <f t="shared" si="9"/>
        <v>0</v>
      </c>
    </row>
    <row r="142" spans="1:16" ht="27.75" customHeight="1" hidden="1">
      <c r="A142" s="23"/>
      <c r="B142" s="80" t="s">
        <v>21</v>
      </c>
      <c r="C142" s="25" t="s">
        <v>38</v>
      </c>
      <c r="D142" s="33"/>
      <c r="E142" s="77"/>
      <c r="F142" s="33"/>
      <c r="G142" s="102"/>
      <c r="H142" s="15"/>
      <c r="I142" s="15"/>
      <c r="J142" s="102"/>
      <c r="K142" s="92"/>
      <c r="P142" s="57">
        <f t="shared" si="9"/>
        <v>0</v>
      </c>
    </row>
    <row r="143" spans="1:17" ht="27.75" customHeight="1">
      <c r="A143" s="23"/>
      <c r="B143" s="79" t="s">
        <v>22</v>
      </c>
      <c r="C143" s="25" t="s">
        <v>38</v>
      </c>
      <c r="D143" s="22"/>
      <c r="E143" s="78">
        <f>D143+F143</f>
        <v>204419.85934</v>
      </c>
      <c r="F143" s="22">
        <f>196000+8419.85934</f>
        <v>204419.85934</v>
      </c>
      <c r="G143" s="78"/>
      <c r="H143" s="20"/>
      <c r="I143" s="20"/>
      <c r="J143" s="78"/>
      <c r="K143" s="54"/>
      <c r="P143" s="57">
        <f t="shared" si="9"/>
        <v>204419.85934</v>
      </c>
      <c r="Q143" s="6" t="s">
        <v>143</v>
      </c>
    </row>
    <row r="144" spans="1:16" ht="37.5" customHeight="1">
      <c r="A144" s="23"/>
      <c r="B144" s="30" t="s">
        <v>40</v>
      </c>
      <c r="C144" s="23" t="s">
        <v>41</v>
      </c>
      <c r="D144" s="33">
        <f aca="true" t="shared" si="14" ref="D144:J144">D146</f>
        <v>0</v>
      </c>
      <c r="E144" s="33">
        <f>E145</f>
        <v>66673.7</v>
      </c>
      <c r="F144" s="33">
        <f>F145</f>
        <v>66673.7</v>
      </c>
      <c r="G144" s="33"/>
      <c r="H144" s="15">
        <f t="shared" si="14"/>
        <v>0</v>
      </c>
      <c r="I144" s="15">
        <f t="shared" si="14"/>
        <v>0</v>
      </c>
      <c r="J144" s="33">
        <f t="shared" si="14"/>
        <v>0</v>
      </c>
      <c r="K144" s="48"/>
      <c r="P144" s="57">
        <f t="shared" si="9"/>
        <v>66673.7</v>
      </c>
    </row>
    <row r="145" spans="1:16" ht="58.5" customHeight="1">
      <c r="A145" s="23"/>
      <c r="B145" s="30" t="s">
        <v>42</v>
      </c>
      <c r="C145" s="23" t="s">
        <v>41</v>
      </c>
      <c r="D145" s="33"/>
      <c r="E145" s="33">
        <f>E146+E150</f>
        <v>66673.7</v>
      </c>
      <c r="F145" s="33">
        <f>F146+F150</f>
        <v>66673.7</v>
      </c>
      <c r="G145" s="33"/>
      <c r="H145" s="15"/>
      <c r="I145" s="15"/>
      <c r="J145" s="33"/>
      <c r="K145" s="48"/>
      <c r="P145" s="57"/>
    </row>
    <row r="146" spans="1:16" ht="40.5" customHeight="1">
      <c r="A146" s="23"/>
      <c r="B146" s="30" t="s">
        <v>43</v>
      </c>
      <c r="C146" s="23" t="s">
        <v>41</v>
      </c>
      <c r="D146" s="33">
        <f>D149+D148</f>
        <v>0</v>
      </c>
      <c r="E146" s="27">
        <f>E149+E148</f>
        <v>25000</v>
      </c>
      <c r="F146" s="33">
        <f>F149+F148</f>
        <v>25000</v>
      </c>
      <c r="G146" s="27"/>
      <c r="H146" s="15">
        <f>H153</f>
        <v>0</v>
      </c>
      <c r="I146" s="15">
        <f>I153</f>
        <v>0</v>
      </c>
      <c r="J146" s="33">
        <f>J153</f>
        <v>0</v>
      </c>
      <c r="K146" s="48"/>
      <c r="P146" s="57">
        <f t="shared" si="9"/>
        <v>25000</v>
      </c>
    </row>
    <row r="147" spans="1:16" ht="33.75" customHeight="1">
      <c r="A147" s="23"/>
      <c r="B147" s="79" t="s">
        <v>192</v>
      </c>
      <c r="C147" s="23"/>
      <c r="D147" s="33"/>
      <c r="E147" s="27"/>
      <c r="F147" s="33"/>
      <c r="G147" s="27"/>
      <c r="H147" s="15"/>
      <c r="I147" s="15"/>
      <c r="J147" s="33"/>
      <c r="K147" s="48"/>
      <c r="P147" s="57"/>
    </row>
    <row r="148" spans="1:16" ht="76.5" customHeight="1">
      <c r="A148" s="25" t="s">
        <v>170</v>
      </c>
      <c r="B148" s="28" t="s">
        <v>95</v>
      </c>
      <c r="C148" s="25" t="s">
        <v>41</v>
      </c>
      <c r="D148" s="22"/>
      <c r="E148" s="21">
        <f>D148+F148</f>
        <v>25000</v>
      </c>
      <c r="F148" s="22">
        <v>25000</v>
      </c>
      <c r="G148" s="85" t="s">
        <v>19</v>
      </c>
      <c r="H148" s="15"/>
      <c r="I148" s="15"/>
      <c r="J148" s="33"/>
      <c r="K148" s="48"/>
      <c r="P148" s="57"/>
    </row>
    <row r="149" spans="1:16" ht="76.5" customHeight="1" hidden="1">
      <c r="A149" s="25"/>
      <c r="B149" s="24"/>
      <c r="C149" s="25" t="s">
        <v>41</v>
      </c>
      <c r="D149" s="22"/>
      <c r="E149" s="22"/>
      <c r="F149" s="22"/>
      <c r="G149" s="21"/>
      <c r="H149" s="15"/>
      <c r="I149" s="15"/>
      <c r="J149" s="33"/>
      <c r="K149" s="48"/>
      <c r="P149" s="57"/>
    </row>
    <row r="150" spans="1:16" ht="76.5" customHeight="1">
      <c r="A150" s="25"/>
      <c r="B150" s="30" t="s">
        <v>62</v>
      </c>
      <c r="C150" s="23" t="s">
        <v>41</v>
      </c>
      <c r="D150" s="33">
        <f>D157</f>
        <v>0</v>
      </c>
      <c r="E150" s="33">
        <f>E157+E152+E153+E154+E155+E156+E158+E159+E160</f>
        <v>41673.7</v>
      </c>
      <c r="F150" s="33">
        <f>F157+F152+F153+F154+F155+F156+F158+F159+F160</f>
        <v>41673.7</v>
      </c>
      <c r="G150" s="27"/>
      <c r="H150" s="15"/>
      <c r="I150" s="15"/>
      <c r="J150" s="33"/>
      <c r="K150" s="48"/>
      <c r="P150" s="57"/>
    </row>
    <row r="151" spans="1:16" ht="34.5" customHeight="1">
      <c r="A151" s="25"/>
      <c r="B151" s="79" t="s">
        <v>192</v>
      </c>
      <c r="C151" s="23"/>
      <c r="D151" s="33"/>
      <c r="E151" s="33"/>
      <c r="F151" s="33"/>
      <c r="G151" s="27"/>
      <c r="H151" s="15"/>
      <c r="I151" s="15"/>
      <c r="J151" s="33"/>
      <c r="K151" s="48"/>
      <c r="P151" s="57"/>
    </row>
    <row r="152" spans="1:16" ht="76.5" customHeight="1">
      <c r="A152" s="25" t="s">
        <v>171</v>
      </c>
      <c r="B152" s="28" t="s">
        <v>161</v>
      </c>
      <c r="C152" s="25" t="s">
        <v>41</v>
      </c>
      <c r="D152" s="33"/>
      <c r="E152" s="22">
        <f aca="true" t="shared" si="15" ref="E152:E160">D152+F152</f>
        <v>2212.9</v>
      </c>
      <c r="F152" s="22">
        <v>2212.9</v>
      </c>
      <c r="G152" s="85" t="s">
        <v>160</v>
      </c>
      <c r="H152" s="15"/>
      <c r="I152" s="15"/>
      <c r="J152" s="33"/>
      <c r="K152" s="48"/>
      <c r="P152" s="57"/>
    </row>
    <row r="153" spans="1:16" ht="88.5" customHeight="1">
      <c r="A153" s="25" t="s">
        <v>172</v>
      </c>
      <c r="B153" s="28" t="s">
        <v>162</v>
      </c>
      <c r="C153" s="25" t="s">
        <v>41</v>
      </c>
      <c r="D153" s="33"/>
      <c r="E153" s="22">
        <f t="shared" si="15"/>
        <v>5072.9</v>
      </c>
      <c r="F153" s="22">
        <v>5072.9</v>
      </c>
      <c r="G153" s="85" t="s">
        <v>160</v>
      </c>
      <c r="H153" s="20"/>
      <c r="I153" s="20"/>
      <c r="J153" s="22"/>
      <c r="K153" s="52"/>
      <c r="P153" s="57">
        <f t="shared" si="9"/>
        <v>5072.9</v>
      </c>
    </row>
    <row r="154" spans="1:16" ht="89.25" customHeight="1">
      <c r="A154" s="25" t="s">
        <v>173</v>
      </c>
      <c r="B154" s="28" t="s">
        <v>163</v>
      </c>
      <c r="C154" s="25" t="s">
        <v>41</v>
      </c>
      <c r="D154" s="33"/>
      <c r="E154" s="22">
        <f t="shared" si="15"/>
        <v>5072.9</v>
      </c>
      <c r="F154" s="22">
        <v>5072.9</v>
      </c>
      <c r="G154" s="85" t="s">
        <v>160</v>
      </c>
      <c r="H154" s="20"/>
      <c r="I154" s="20"/>
      <c r="J154" s="22"/>
      <c r="K154" s="52"/>
      <c r="P154" s="57"/>
    </row>
    <row r="155" spans="1:16" ht="69" customHeight="1">
      <c r="A155" s="25" t="s">
        <v>174</v>
      </c>
      <c r="B155" s="28" t="s">
        <v>164</v>
      </c>
      <c r="C155" s="25" t="s">
        <v>41</v>
      </c>
      <c r="D155" s="33"/>
      <c r="E155" s="21">
        <f t="shared" si="15"/>
        <v>3575</v>
      </c>
      <c r="F155" s="22">
        <v>3575</v>
      </c>
      <c r="G155" s="85" t="s">
        <v>160</v>
      </c>
      <c r="H155" s="20"/>
      <c r="I155" s="20"/>
      <c r="J155" s="22"/>
      <c r="K155" s="52"/>
      <c r="P155" s="57"/>
    </row>
    <row r="156" spans="1:16" ht="69" customHeight="1">
      <c r="A156" s="25" t="s">
        <v>175</v>
      </c>
      <c r="B156" s="28" t="s">
        <v>165</v>
      </c>
      <c r="C156" s="25" t="s">
        <v>41</v>
      </c>
      <c r="D156" s="22"/>
      <c r="E156" s="21">
        <f t="shared" si="15"/>
        <v>3575</v>
      </c>
      <c r="F156" s="22">
        <v>3575</v>
      </c>
      <c r="G156" s="85" t="s">
        <v>160</v>
      </c>
      <c r="H156" s="20"/>
      <c r="I156" s="20"/>
      <c r="J156" s="22"/>
      <c r="K156" s="52"/>
      <c r="P156" s="57"/>
    </row>
    <row r="157" spans="1:16" ht="189.75" customHeight="1">
      <c r="A157" s="25" t="s">
        <v>176</v>
      </c>
      <c r="B157" s="28" t="s">
        <v>166</v>
      </c>
      <c r="C157" s="25" t="s">
        <v>41</v>
      </c>
      <c r="D157" s="22"/>
      <c r="E157" s="21">
        <f t="shared" si="15"/>
        <v>7150</v>
      </c>
      <c r="F157" s="22">
        <v>7150</v>
      </c>
      <c r="G157" s="85" t="s">
        <v>160</v>
      </c>
      <c r="H157" s="20"/>
      <c r="I157" s="20"/>
      <c r="J157" s="22"/>
      <c r="K157" s="52"/>
      <c r="P157" s="57"/>
    </row>
    <row r="158" spans="1:16" ht="69" customHeight="1">
      <c r="A158" s="25" t="s">
        <v>177</v>
      </c>
      <c r="B158" s="28" t="s">
        <v>167</v>
      </c>
      <c r="C158" s="25" t="s">
        <v>41</v>
      </c>
      <c r="D158" s="22"/>
      <c r="E158" s="22">
        <f t="shared" si="15"/>
        <v>2502.5</v>
      </c>
      <c r="F158" s="22">
        <v>2502.5</v>
      </c>
      <c r="G158" s="85" t="s">
        <v>160</v>
      </c>
      <c r="H158" s="20"/>
      <c r="I158" s="20"/>
      <c r="J158" s="22"/>
      <c r="K158" s="52"/>
      <c r="P158" s="57"/>
    </row>
    <row r="159" spans="1:16" ht="69" customHeight="1">
      <c r="A159" s="25" t="s">
        <v>178</v>
      </c>
      <c r="B159" s="28" t="s">
        <v>168</v>
      </c>
      <c r="C159" s="25" t="s">
        <v>41</v>
      </c>
      <c r="D159" s="22"/>
      <c r="E159" s="22">
        <f t="shared" si="15"/>
        <v>5362.5</v>
      </c>
      <c r="F159" s="22">
        <v>5362.5</v>
      </c>
      <c r="G159" s="85" t="s">
        <v>160</v>
      </c>
      <c r="H159" s="20"/>
      <c r="I159" s="20"/>
      <c r="J159" s="22"/>
      <c r="K159" s="52"/>
      <c r="P159" s="57"/>
    </row>
    <row r="160" spans="1:16" ht="69" customHeight="1">
      <c r="A160" s="25" t="s">
        <v>79</v>
      </c>
      <c r="B160" s="28" t="s">
        <v>169</v>
      </c>
      <c r="C160" s="25" t="s">
        <v>41</v>
      </c>
      <c r="D160" s="22"/>
      <c r="E160" s="21">
        <f t="shared" si="15"/>
        <v>7150</v>
      </c>
      <c r="F160" s="22">
        <v>7150</v>
      </c>
      <c r="G160" s="85" t="s">
        <v>160</v>
      </c>
      <c r="H160" s="20"/>
      <c r="I160" s="20"/>
      <c r="J160" s="22"/>
      <c r="K160" s="52"/>
      <c r="P160" s="57"/>
    </row>
    <row r="161" spans="1:16" ht="27.75" customHeight="1">
      <c r="A161" s="23" t="s">
        <v>78</v>
      </c>
      <c r="B161" s="26" t="s">
        <v>14</v>
      </c>
      <c r="C161" s="23" t="s">
        <v>24</v>
      </c>
      <c r="D161" s="33">
        <f aca="true" t="shared" si="16" ref="D161:F162">D162</f>
        <v>0</v>
      </c>
      <c r="E161" s="33">
        <f t="shared" si="16"/>
        <v>3135077.5</v>
      </c>
      <c r="F161" s="33">
        <f t="shared" si="16"/>
        <v>3135077.5</v>
      </c>
      <c r="G161" s="33"/>
      <c r="H161" s="15" t="e">
        <f>#REF!+#REF!</f>
        <v>#REF!</v>
      </c>
      <c r="I161" s="15" t="e">
        <f>#REF!+#REF!</f>
        <v>#REF!</v>
      </c>
      <c r="J161" s="33" t="e">
        <f>#REF!+#REF!</f>
        <v>#REF!</v>
      </c>
      <c r="K161" s="48"/>
      <c r="L161" s="6" t="e">
        <f>SUM(#REF!)</f>
        <v>#REF!</v>
      </c>
      <c r="M161" s="57"/>
      <c r="P161" s="57">
        <f t="shared" si="9"/>
        <v>3135077.5</v>
      </c>
    </row>
    <row r="162" spans="1:16" ht="26.25" customHeight="1">
      <c r="A162" s="23"/>
      <c r="B162" s="30" t="s">
        <v>31</v>
      </c>
      <c r="C162" s="23" t="s">
        <v>17</v>
      </c>
      <c r="D162" s="33">
        <f t="shared" si="16"/>
        <v>0</v>
      </c>
      <c r="E162" s="33">
        <f t="shared" si="16"/>
        <v>3135077.5</v>
      </c>
      <c r="F162" s="33">
        <f t="shared" si="16"/>
        <v>3135077.5</v>
      </c>
      <c r="G162" s="33"/>
      <c r="H162" s="15" t="e">
        <f>H163</f>
        <v>#REF!</v>
      </c>
      <c r="I162" s="15" t="e">
        <f>I163</f>
        <v>#REF!</v>
      </c>
      <c r="J162" s="33" t="e">
        <f>J163</f>
        <v>#REF!</v>
      </c>
      <c r="K162" s="48"/>
      <c r="P162" s="57">
        <f t="shared" si="9"/>
        <v>3135077.5</v>
      </c>
    </row>
    <row r="163" spans="1:16" ht="54" customHeight="1">
      <c r="A163" s="25"/>
      <c r="B163" s="30" t="s">
        <v>15</v>
      </c>
      <c r="C163" s="23"/>
      <c r="D163" s="33">
        <f>D239+D164</f>
        <v>0</v>
      </c>
      <c r="E163" s="33">
        <f>E239+E164</f>
        <v>3135077.5</v>
      </c>
      <c r="F163" s="33">
        <f>F239+F164</f>
        <v>3135077.5</v>
      </c>
      <c r="G163" s="33"/>
      <c r="H163" s="15" t="e">
        <f>H239+H164</f>
        <v>#REF!</v>
      </c>
      <c r="I163" s="15" t="e">
        <f>I239+I164</f>
        <v>#REF!</v>
      </c>
      <c r="J163" s="33" t="e">
        <f>J239+J164</f>
        <v>#REF!</v>
      </c>
      <c r="K163" s="48"/>
      <c r="P163" s="57">
        <f t="shared" si="9"/>
        <v>3135077.5</v>
      </c>
    </row>
    <row r="164" spans="1:16" ht="54" customHeight="1">
      <c r="A164" s="25"/>
      <c r="B164" s="30" t="s">
        <v>70</v>
      </c>
      <c r="C164" s="23" t="s">
        <v>17</v>
      </c>
      <c r="D164" s="33">
        <f>D165+D166</f>
        <v>0</v>
      </c>
      <c r="E164" s="33">
        <f>E165+E166</f>
        <v>1056818.5</v>
      </c>
      <c r="F164" s="33">
        <f>F165+F166</f>
        <v>1056818.5</v>
      </c>
      <c r="G164" s="33"/>
      <c r="H164" s="15" t="e">
        <f>#REF!+#REF!+H171+H175+H179+H183+H187+H191+H195</f>
        <v>#REF!</v>
      </c>
      <c r="I164" s="15" t="e">
        <f>#REF!+#REF!+I171+I175+I179+I183+I187+I191+I195</f>
        <v>#REF!</v>
      </c>
      <c r="J164" s="33" t="e">
        <f>#REF!+#REF!+J171+J175+J179+J183+J187+J191+J195</f>
        <v>#REF!</v>
      </c>
      <c r="K164" s="48"/>
      <c r="P164" s="57">
        <f t="shared" si="9"/>
        <v>1056818.5</v>
      </c>
    </row>
    <row r="165" spans="1:16" ht="24" customHeight="1">
      <c r="A165" s="25"/>
      <c r="B165" s="26" t="s">
        <v>21</v>
      </c>
      <c r="C165" s="23" t="s">
        <v>17</v>
      </c>
      <c r="D165" s="33">
        <f aca="true" t="shared" si="17" ref="D165:F166">D169+D201</f>
        <v>0</v>
      </c>
      <c r="E165" s="33">
        <f t="shared" si="17"/>
        <v>611067.9</v>
      </c>
      <c r="F165" s="33">
        <f t="shared" si="17"/>
        <v>611067.9</v>
      </c>
      <c r="G165" s="33"/>
      <c r="H165" s="33">
        <f aca="true" t="shared" si="18" ref="H165:J166">H173+H177+H181+H185+H189+H193+H197</f>
        <v>701408.0800000001</v>
      </c>
      <c r="I165" s="33">
        <f t="shared" si="18"/>
        <v>701408.0800000001</v>
      </c>
      <c r="J165" s="33">
        <f t="shared" si="18"/>
        <v>477473</v>
      </c>
      <c r="K165" s="48"/>
      <c r="P165" s="57">
        <f t="shared" si="9"/>
        <v>611067.9</v>
      </c>
    </row>
    <row r="166" spans="1:16" ht="21.75" customHeight="1">
      <c r="A166" s="25"/>
      <c r="B166" s="91" t="s">
        <v>22</v>
      </c>
      <c r="C166" s="23" t="s">
        <v>17</v>
      </c>
      <c r="D166" s="33">
        <f t="shared" si="17"/>
        <v>0</v>
      </c>
      <c r="E166" s="33">
        <f t="shared" si="17"/>
        <v>445750.6</v>
      </c>
      <c r="F166" s="33">
        <f t="shared" si="17"/>
        <v>445750.6</v>
      </c>
      <c r="G166" s="33"/>
      <c r="H166" s="33">
        <f t="shared" si="18"/>
        <v>86892.11</v>
      </c>
      <c r="I166" s="33">
        <f t="shared" si="18"/>
        <v>86892.11</v>
      </c>
      <c r="J166" s="33">
        <f t="shared" si="18"/>
        <v>294083</v>
      </c>
      <c r="K166" s="48"/>
      <c r="P166" s="57">
        <f t="shared" si="9"/>
        <v>445750.6</v>
      </c>
    </row>
    <row r="167" spans="1:16" ht="126" customHeight="1">
      <c r="A167" s="25"/>
      <c r="B167" s="30" t="s">
        <v>206</v>
      </c>
      <c r="C167" s="23" t="s">
        <v>17</v>
      </c>
      <c r="D167" s="33">
        <f>D169+D170</f>
        <v>0</v>
      </c>
      <c r="E167" s="33">
        <f>E169+E170</f>
        <v>891412.8</v>
      </c>
      <c r="F167" s="33">
        <f>F169+F170</f>
        <v>891412.8</v>
      </c>
      <c r="G167" s="33"/>
      <c r="H167" s="33"/>
      <c r="I167" s="33"/>
      <c r="J167" s="33"/>
      <c r="K167" s="48"/>
      <c r="P167" s="57">
        <f t="shared" si="9"/>
        <v>891412.8</v>
      </c>
    </row>
    <row r="168" spans="1:16" ht="22.5" customHeight="1">
      <c r="A168" s="25"/>
      <c r="B168" s="82" t="s">
        <v>20</v>
      </c>
      <c r="C168" s="23"/>
      <c r="D168" s="33"/>
      <c r="E168" s="33"/>
      <c r="F168" s="33"/>
      <c r="G168" s="33"/>
      <c r="H168" s="33"/>
      <c r="I168" s="33"/>
      <c r="J168" s="33"/>
      <c r="K168" s="48"/>
      <c r="P168" s="57">
        <f t="shared" si="9"/>
        <v>0</v>
      </c>
    </row>
    <row r="169" spans="1:16" ht="22.5" customHeight="1">
      <c r="A169" s="25"/>
      <c r="B169" s="83" t="s">
        <v>21</v>
      </c>
      <c r="C169" s="23" t="s">
        <v>17</v>
      </c>
      <c r="D169" s="33">
        <f aca="true" t="shared" si="19" ref="D169:F170">D173+D177+D181+D185+D189+D197+D193</f>
        <v>0</v>
      </c>
      <c r="E169" s="27">
        <f t="shared" si="19"/>
        <v>470473</v>
      </c>
      <c r="F169" s="33">
        <f t="shared" si="19"/>
        <v>470473</v>
      </c>
      <c r="G169" s="33"/>
      <c r="H169" s="33"/>
      <c r="I169" s="33"/>
      <c r="J169" s="33"/>
      <c r="K169" s="48"/>
      <c r="P169" s="57">
        <f t="shared" si="9"/>
        <v>470473</v>
      </c>
    </row>
    <row r="170" spans="1:16" ht="21.75" customHeight="1">
      <c r="A170" s="25"/>
      <c r="B170" s="82" t="s">
        <v>22</v>
      </c>
      <c r="C170" s="23" t="s">
        <v>17</v>
      </c>
      <c r="D170" s="33">
        <f t="shared" si="19"/>
        <v>0</v>
      </c>
      <c r="E170" s="33">
        <f t="shared" si="19"/>
        <v>420939.8</v>
      </c>
      <c r="F170" s="33">
        <f t="shared" si="19"/>
        <v>420939.8</v>
      </c>
      <c r="G170" s="33"/>
      <c r="H170" s="33"/>
      <c r="I170" s="33"/>
      <c r="J170" s="33"/>
      <c r="K170" s="48"/>
      <c r="P170" s="57">
        <f t="shared" si="9"/>
        <v>420939.8</v>
      </c>
    </row>
    <row r="171" spans="1:16" ht="78.75" customHeight="1">
      <c r="A171" s="34">
        <v>16</v>
      </c>
      <c r="B171" s="28" t="s">
        <v>152</v>
      </c>
      <c r="C171" s="25" t="s">
        <v>17</v>
      </c>
      <c r="D171" s="22">
        <f>D173+D174</f>
        <v>0</v>
      </c>
      <c r="E171" s="22">
        <f>E173+E174</f>
        <v>128442.6</v>
      </c>
      <c r="F171" s="22">
        <f>F173+F174</f>
        <v>128442.6</v>
      </c>
      <c r="G171" s="85" t="s">
        <v>93</v>
      </c>
      <c r="H171" s="20">
        <f>H173+H174</f>
        <v>0</v>
      </c>
      <c r="I171" s="20">
        <f>I173+I174</f>
        <v>0</v>
      </c>
      <c r="J171" s="22">
        <f>J173+J174</f>
        <v>127382.4</v>
      </c>
      <c r="K171" s="52"/>
      <c r="P171" s="57">
        <f t="shared" si="9"/>
        <v>128442.6</v>
      </c>
    </row>
    <row r="172" spans="1:16" ht="21.75" customHeight="1">
      <c r="A172" s="34"/>
      <c r="B172" s="79" t="s">
        <v>20</v>
      </c>
      <c r="C172" s="25"/>
      <c r="D172" s="22"/>
      <c r="E172" s="22"/>
      <c r="F172" s="22"/>
      <c r="G172" s="20"/>
      <c r="H172" s="20"/>
      <c r="I172" s="20"/>
      <c r="J172" s="20"/>
      <c r="K172" s="50"/>
      <c r="P172" s="57">
        <f t="shared" si="9"/>
        <v>0</v>
      </c>
    </row>
    <row r="173" spans="1:16" ht="27" customHeight="1">
      <c r="A173" s="34"/>
      <c r="B173" s="80" t="s">
        <v>21</v>
      </c>
      <c r="C173" s="25"/>
      <c r="D173" s="22"/>
      <c r="E173" s="22">
        <f>D173+F173</f>
        <v>70014.7</v>
      </c>
      <c r="F173" s="22">
        <v>70014.7</v>
      </c>
      <c r="G173" s="22"/>
      <c r="H173" s="20"/>
      <c r="I173" s="20"/>
      <c r="J173" s="22">
        <v>70014.7</v>
      </c>
      <c r="K173" s="52"/>
      <c r="P173" s="57">
        <f t="shared" si="9"/>
        <v>70014.7</v>
      </c>
    </row>
    <row r="174" spans="1:16" ht="27" customHeight="1">
      <c r="A174" s="34"/>
      <c r="B174" s="79" t="s">
        <v>22</v>
      </c>
      <c r="C174" s="25"/>
      <c r="D174" s="22"/>
      <c r="E174" s="22">
        <f>D174+F174</f>
        <v>58427.9</v>
      </c>
      <c r="F174" s="22">
        <v>58427.9</v>
      </c>
      <c r="G174" s="22"/>
      <c r="H174" s="20"/>
      <c r="I174" s="20"/>
      <c r="J174" s="22">
        <v>57367.7</v>
      </c>
      <c r="K174" s="52"/>
      <c r="P174" s="57">
        <f t="shared" si="9"/>
        <v>58427.9</v>
      </c>
    </row>
    <row r="175" spans="1:16" ht="54" customHeight="1">
      <c r="A175" s="34">
        <v>17</v>
      </c>
      <c r="B175" s="28" t="s">
        <v>67</v>
      </c>
      <c r="C175" s="25" t="s">
        <v>17</v>
      </c>
      <c r="D175" s="22">
        <f>SUM(D177:D178)</f>
        <v>0</v>
      </c>
      <c r="E175" s="22">
        <f>SUM(E177:E178)</f>
        <v>174630.5</v>
      </c>
      <c r="F175" s="22">
        <f>SUM(F177:F178)</f>
        <v>174630.5</v>
      </c>
      <c r="G175" s="85" t="s">
        <v>19</v>
      </c>
      <c r="H175" s="20">
        <f>SUM(H177:H178)</f>
        <v>162061.57</v>
      </c>
      <c r="I175" s="20">
        <f>SUM(I177:I178)</f>
        <v>162061.57</v>
      </c>
      <c r="J175" s="22">
        <f>SUM(J177:J178)</f>
        <v>136112</v>
      </c>
      <c r="K175" s="52"/>
      <c r="P175" s="57">
        <f t="shared" si="9"/>
        <v>174630.5</v>
      </c>
    </row>
    <row r="176" spans="1:16" ht="24.75" customHeight="1">
      <c r="A176" s="34"/>
      <c r="B176" s="79" t="s">
        <v>20</v>
      </c>
      <c r="C176" s="25"/>
      <c r="D176" s="22"/>
      <c r="E176" s="22"/>
      <c r="F176" s="22"/>
      <c r="G176" s="20"/>
      <c r="H176" s="20"/>
      <c r="I176" s="20"/>
      <c r="J176" s="20"/>
      <c r="K176" s="50"/>
      <c r="P176" s="57">
        <f t="shared" si="9"/>
        <v>0</v>
      </c>
    </row>
    <row r="177" spans="1:16" ht="24.75" customHeight="1">
      <c r="A177" s="34"/>
      <c r="B177" s="80" t="s">
        <v>21</v>
      </c>
      <c r="C177" s="25"/>
      <c r="D177" s="22"/>
      <c r="E177" s="22">
        <f>D177+F177</f>
        <v>70014.7</v>
      </c>
      <c r="F177" s="22">
        <f>70014.7-0.1+0.1</f>
        <v>70014.7</v>
      </c>
      <c r="G177" s="22"/>
      <c r="H177" s="20">
        <v>144197.97</v>
      </c>
      <c r="I177" s="20">
        <v>144197.97</v>
      </c>
      <c r="J177" s="22">
        <v>70014.7</v>
      </c>
      <c r="K177" s="52"/>
      <c r="P177" s="57">
        <f t="shared" si="9"/>
        <v>70014.7</v>
      </c>
    </row>
    <row r="178" spans="1:16" ht="24.75" customHeight="1">
      <c r="A178" s="34"/>
      <c r="B178" s="79" t="s">
        <v>22</v>
      </c>
      <c r="C178" s="25"/>
      <c r="D178" s="22"/>
      <c r="E178" s="22">
        <f>D178+F178</f>
        <v>104615.79999999999</v>
      </c>
      <c r="F178" s="22">
        <f>69785+34830.9-0.1</f>
        <v>104615.79999999999</v>
      </c>
      <c r="G178" s="22"/>
      <c r="H178" s="20">
        <v>17863.6</v>
      </c>
      <c r="I178" s="20">
        <v>17863.6</v>
      </c>
      <c r="J178" s="22">
        <v>66097.3</v>
      </c>
      <c r="K178" s="52"/>
      <c r="P178" s="57">
        <f t="shared" si="9"/>
        <v>104615.79999999999</v>
      </c>
    </row>
    <row r="179" spans="1:16" ht="54" customHeight="1">
      <c r="A179" s="34">
        <v>18</v>
      </c>
      <c r="B179" s="28" t="s">
        <v>68</v>
      </c>
      <c r="C179" s="25" t="s">
        <v>17</v>
      </c>
      <c r="D179" s="22">
        <f>SUM(D181:D182)</f>
        <v>0</v>
      </c>
      <c r="E179" s="22">
        <f>SUM(E181:E182)</f>
        <v>157774.2</v>
      </c>
      <c r="F179" s="22">
        <f>SUM(F181:F182)</f>
        <v>157774.2</v>
      </c>
      <c r="G179" s="85" t="s">
        <v>19</v>
      </c>
      <c r="H179" s="20">
        <f>SUM(H181:H182)</f>
        <v>158141.43000000002</v>
      </c>
      <c r="I179" s="20">
        <f>SUM(I181:I182)</f>
        <v>158141.43000000002</v>
      </c>
      <c r="J179" s="22">
        <f>SUM(J181:J182)</f>
        <v>137147.1</v>
      </c>
      <c r="K179" s="52"/>
      <c r="P179" s="57">
        <f t="shared" si="9"/>
        <v>157774.2</v>
      </c>
    </row>
    <row r="180" spans="1:16" ht="27" customHeight="1">
      <c r="A180" s="34"/>
      <c r="B180" s="79" t="s">
        <v>20</v>
      </c>
      <c r="C180" s="25"/>
      <c r="D180" s="22"/>
      <c r="E180" s="22"/>
      <c r="F180" s="22"/>
      <c r="G180" s="20"/>
      <c r="H180" s="20"/>
      <c r="I180" s="20"/>
      <c r="J180" s="20"/>
      <c r="K180" s="50"/>
      <c r="P180" s="57">
        <f t="shared" si="9"/>
        <v>0</v>
      </c>
    </row>
    <row r="181" spans="1:16" ht="27" customHeight="1">
      <c r="A181" s="34"/>
      <c r="B181" s="80" t="s">
        <v>21</v>
      </c>
      <c r="C181" s="25"/>
      <c r="D181" s="22"/>
      <c r="E181" s="22">
        <f>D181+F181</f>
        <v>76488.7</v>
      </c>
      <c r="F181" s="22">
        <v>76488.7</v>
      </c>
      <c r="G181" s="22"/>
      <c r="H181" s="20">
        <v>140709.95</v>
      </c>
      <c r="I181" s="20">
        <v>140709.95</v>
      </c>
      <c r="J181" s="22">
        <v>73488.7</v>
      </c>
      <c r="K181" s="52"/>
      <c r="P181" s="57">
        <f t="shared" si="9"/>
        <v>76488.7</v>
      </c>
    </row>
    <row r="182" spans="1:16" ht="27" customHeight="1">
      <c r="A182" s="34"/>
      <c r="B182" s="79" t="s">
        <v>22</v>
      </c>
      <c r="C182" s="25"/>
      <c r="D182" s="22"/>
      <c r="E182" s="22">
        <f>D182+F182</f>
        <v>81285.5</v>
      </c>
      <c r="F182" s="22">
        <f>64767.7+16517.8</f>
        <v>81285.5</v>
      </c>
      <c r="G182" s="22"/>
      <c r="H182" s="20">
        <v>17431.48</v>
      </c>
      <c r="I182" s="20">
        <v>17431.48</v>
      </c>
      <c r="J182" s="22">
        <v>63658.4</v>
      </c>
      <c r="K182" s="52"/>
      <c r="P182" s="57">
        <f t="shared" si="9"/>
        <v>81285.5</v>
      </c>
    </row>
    <row r="183" spans="1:16" ht="54" customHeight="1">
      <c r="A183" s="34">
        <v>19</v>
      </c>
      <c r="B183" s="28" t="s">
        <v>69</v>
      </c>
      <c r="C183" s="25" t="s">
        <v>17</v>
      </c>
      <c r="D183" s="22">
        <f>SUM(D185:D186)</f>
        <v>0</v>
      </c>
      <c r="E183" s="22">
        <f>SUM(E185:E186)</f>
        <v>109894.9</v>
      </c>
      <c r="F183" s="22">
        <f>SUM(F185:F186)</f>
        <v>109894.9</v>
      </c>
      <c r="G183" s="85" t="s">
        <v>19</v>
      </c>
      <c r="H183" s="20">
        <f>SUM(H185:H186)</f>
        <v>104670.47</v>
      </c>
      <c r="I183" s="20">
        <f>SUM(I185:I186)</f>
        <v>104670.47</v>
      </c>
      <c r="J183" s="22">
        <f>SUM(J185:J186)</f>
        <v>116439.7</v>
      </c>
      <c r="K183" s="52"/>
      <c r="P183" s="57">
        <f t="shared" si="9"/>
        <v>109894.9</v>
      </c>
    </row>
    <row r="184" spans="1:16" ht="24.75" customHeight="1">
      <c r="A184" s="34"/>
      <c r="B184" s="79" t="s">
        <v>20</v>
      </c>
      <c r="C184" s="25"/>
      <c r="D184" s="22"/>
      <c r="E184" s="22"/>
      <c r="F184" s="22"/>
      <c r="G184" s="20"/>
      <c r="H184" s="20"/>
      <c r="I184" s="20"/>
      <c r="J184" s="20"/>
      <c r="K184" s="50"/>
      <c r="P184" s="57">
        <f t="shared" si="9"/>
        <v>0</v>
      </c>
    </row>
    <row r="185" spans="1:16" ht="24.75" customHeight="1">
      <c r="A185" s="34"/>
      <c r="B185" s="80" t="s">
        <v>21</v>
      </c>
      <c r="C185" s="25"/>
      <c r="D185" s="22"/>
      <c r="E185" s="22">
        <f>D185+F185</f>
        <v>88228.7</v>
      </c>
      <c r="F185" s="22">
        <v>88228.7</v>
      </c>
      <c r="G185" s="22"/>
      <c r="H185" s="20">
        <v>93132.94</v>
      </c>
      <c r="I185" s="20">
        <v>93132.94</v>
      </c>
      <c r="J185" s="22">
        <v>98228.7</v>
      </c>
      <c r="K185" s="52"/>
      <c r="P185" s="57">
        <f t="shared" si="9"/>
        <v>88228.7</v>
      </c>
    </row>
    <row r="186" spans="1:16" ht="24.75" customHeight="1">
      <c r="A186" s="34"/>
      <c r="B186" s="79" t="s">
        <v>22</v>
      </c>
      <c r="C186" s="25"/>
      <c r="D186" s="22"/>
      <c r="E186" s="22">
        <f>D186+F186</f>
        <v>21666.199999999997</v>
      </c>
      <c r="F186" s="22">
        <f>15569.8+6096.4</f>
        <v>21666.199999999997</v>
      </c>
      <c r="G186" s="22"/>
      <c r="H186" s="20">
        <v>11537.53</v>
      </c>
      <c r="I186" s="20">
        <v>11537.53</v>
      </c>
      <c r="J186" s="22">
        <v>18211</v>
      </c>
      <c r="K186" s="52"/>
      <c r="P186" s="57">
        <f aca="true" t="shared" si="20" ref="P186:P249">F186+D186</f>
        <v>21666.199999999997</v>
      </c>
    </row>
    <row r="187" spans="1:16" ht="54" customHeight="1">
      <c r="A187" s="34">
        <v>20</v>
      </c>
      <c r="B187" s="28" t="s">
        <v>201</v>
      </c>
      <c r="C187" s="25" t="s">
        <v>17</v>
      </c>
      <c r="D187" s="22">
        <f>SUM(D189:D190)</f>
        <v>0</v>
      </c>
      <c r="E187" s="22">
        <f>SUM(E189:E190)</f>
        <v>78268.79999999999</v>
      </c>
      <c r="F187" s="22">
        <f>SUM(F189:F190)</f>
        <v>78268.79999999999</v>
      </c>
      <c r="G187" s="85" t="s">
        <v>19</v>
      </c>
      <c r="H187" s="20">
        <f>SUM(H189:H190)</f>
        <v>86164.73999999999</v>
      </c>
      <c r="I187" s="20">
        <f>SUM(I189:I190)</f>
        <v>86164.73999999999</v>
      </c>
      <c r="J187" s="22">
        <f>SUM(J189:J190)</f>
        <v>60330</v>
      </c>
      <c r="K187" s="52"/>
      <c r="P187" s="57">
        <f t="shared" si="20"/>
        <v>78268.79999999999</v>
      </c>
    </row>
    <row r="188" spans="1:16" ht="29.25" customHeight="1">
      <c r="A188" s="34"/>
      <c r="B188" s="79" t="s">
        <v>20</v>
      </c>
      <c r="C188" s="25"/>
      <c r="D188" s="22"/>
      <c r="E188" s="22"/>
      <c r="F188" s="22"/>
      <c r="G188" s="20"/>
      <c r="H188" s="20"/>
      <c r="I188" s="20"/>
      <c r="J188" s="20"/>
      <c r="K188" s="50"/>
      <c r="P188" s="57">
        <f t="shared" si="20"/>
        <v>0</v>
      </c>
    </row>
    <row r="189" spans="1:16" ht="29.25" customHeight="1">
      <c r="A189" s="34"/>
      <c r="B189" s="80" t="s">
        <v>21</v>
      </c>
      <c r="C189" s="25"/>
      <c r="D189" s="22"/>
      <c r="E189" s="22">
        <f>D189+F189</f>
        <v>46118.7</v>
      </c>
      <c r="F189" s="22">
        <v>46118.7</v>
      </c>
      <c r="G189" s="22"/>
      <c r="H189" s="20">
        <v>76667.04</v>
      </c>
      <c r="I189" s="20">
        <v>76667.04</v>
      </c>
      <c r="J189" s="22">
        <v>46118.7</v>
      </c>
      <c r="K189" s="52"/>
      <c r="P189" s="57">
        <f t="shared" si="20"/>
        <v>46118.7</v>
      </c>
    </row>
    <row r="190" spans="1:16" ht="29.25" customHeight="1">
      <c r="A190" s="34"/>
      <c r="B190" s="79" t="s">
        <v>22</v>
      </c>
      <c r="C190" s="25"/>
      <c r="D190" s="22"/>
      <c r="E190" s="22">
        <f>D190+F190</f>
        <v>32150.1</v>
      </c>
      <c r="F190" s="22">
        <v>32150.1</v>
      </c>
      <c r="G190" s="22"/>
      <c r="H190" s="20">
        <v>9497.7</v>
      </c>
      <c r="I190" s="20">
        <v>9497.7</v>
      </c>
      <c r="J190" s="22">
        <v>14211.3</v>
      </c>
      <c r="K190" s="52"/>
      <c r="P190" s="57">
        <f t="shared" si="20"/>
        <v>32150.1</v>
      </c>
    </row>
    <row r="191" spans="1:16" ht="54" customHeight="1">
      <c r="A191" s="34">
        <v>21</v>
      </c>
      <c r="B191" s="31" t="s">
        <v>94</v>
      </c>
      <c r="C191" s="25" t="s">
        <v>17</v>
      </c>
      <c r="D191" s="22">
        <f>SUM(D193:D194)</f>
        <v>0</v>
      </c>
      <c r="E191" s="22">
        <f>SUM(E193:E194)</f>
        <v>73452.1</v>
      </c>
      <c r="F191" s="22">
        <f>SUM(F193:F194)</f>
        <v>73452.1</v>
      </c>
      <c r="G191" s="85" t="s">
        <v>19</v>
      </c>
      <c r="H191" s="20">
        <f>SUM(H193:H194)</f>
        <v>81589.79000000001</v>
      </c>
      <c r="I191" s="20">
        <f>SUM(I193:I194)</f>
        <v>81589.79000000001</v>
      </c>
      <c r="J191" s="22">
        <f>SUM(J193:J194)</f>
        <v>55937.7</v>
      </c>
      <c r="K191" s="52"/>
      <c r="P191" s="57">
        <f t="shared" si="20"/>
        <v>73452.1</v>
      </c>
    </row>
    <row r="192" spans="1:16" ht="28.5" customHeight="1">
      <c r="A192" s="34"/>
      <c r="B192" s="79" t="s">
        <v>20</v>
      </c>
      <c r="C192" s="25"/>
      <c r="D192" s="22"/>
      <c r="E192" s="22"/>
      <c r="F192" s="22"/>
      <c r="G192" s="20"/>
      <c r="H192" s="20"/>
      <c r="I192" s="20"/>
      <c r="J192" s="20"/>
      <c r="K192" s="50"/>
      <c r="P192" s="57">
        <f t="shared" si="20"/>
        <v>0</v>
      </c>
    </row>
    <row r="193" spans="1:16" ht="28.5" customHeight="1">
      <c r="A193" s="34"/>
      <c r="B193" s="80" t="s">
        <v>21</v>
      </c>
      <c r="C193" s="25"/>
      <c r="D193" s="22"/>
      <c r="E193" s="22">
        <f>D193+F193</f>
        <v>46118.7</v>
      </c>
      <c r="F193" s="22">
        <v>46118.7</v>
      </c>
      <c r="G193" s="22"/>
      <c r="H193" s="20">
        <v>72596.38</v>
      </c>
      <c r="I193" s="20">
        <v>72596.38</v>
      </c>
      <c r="J193" s="22">
        <v>46118.7</v>
      </c>
      <c r="K193" s="52"/>
      <c r="P193" s="57">
        <f t="shared" si="20"/>
        <v>46118.7</v>
      </c>
    </row>
    <row r="194" spans="1:16" ht="28.5" customHeight="1">
      <c r="A194" s="34"/>
      <c r="B194" s="79" t="s">
        <v>22</v>
      </c>
      <c r="C194" s="25"/>
      <c r="D194" s="22"/>
      <c r="E194" s="22">
        <f>D194+F194</f>
        <v>27333.4</v>
      </c>
      <c r="F194" s="22">
        <f>25758.7+1574.7</f>
        <v>27333.4</v>
      </c>
      <c r="G194" s="22"/>
      <c r="H194" s="20">
        <v>8993.41</v>
      </c>
      <c r="I194" s="20">
        <v>8993.41</v>
      </c>
      <c r="J194" s="22">
        <v>9819</v>
      </c>
      <c r="K194" s="52"/>
      <c r="P194" s="57">
        <f t="shared" si="20"/>
        <v>27333.4</v>
      </c>
    </row>
    <row r="195" spans="1:16" ht="54" customHeight="1">
      <c r="A195" s="34">
        <v>22</v>
      </c>
      <c r="B195" s="28" t="s">
        <v>202</v>
      </c>
      <c r="C195" s="25" t="s">
        <v>17</v>
      </c>
      <c r="D195" s="22">
        <f>SUM(D197:D198)</f>
        <v>0</v>
      </c>
      <c r="E195" s="22">
        <f>SUM(E197:E198)</f>
        <v>168949.7</v>
      </c>
      <c r="F195" s="22">
        <f>SUM(F197:F198)</f>
        <v>168949.7</v>
      </c>
      <c r="G195" s="85" t="s">
        <v>19</v>
      </c>
      <c r="H195" s="20">
        <f>SUM(H197:H198)</f>
        <v>195672.19</v>
      </c>
      <c r="I195" s="20">
        <f>SUM(I197:I198)</f>
        <v>195672.19</v>
      </c>
      <c r="J195" s="22">
        <f>SUM(J197:J198)</f>
        <v>138207.1</v>
      </c>
      <c r="K195" s="52"/>
      <c r="P195" s="57">
        <f t="shared" si="20"/>
        <v>168949.7</v>
      </c>
    </row>
    <row r="196" spans="1:16" ht="22.5" customHeight="1">
      <c r="A196" s="34"/>
      <c r="B196" s="79" t="s">
        <v>20</v>
      </c>
      <c r="C196" s="25"/>
      <c r="D196" s="22"/>
      <c r="E196" s="22"/>
      <c r="F196" s="22"/>
      <c r="G196" s="20"/>
      <c r="H196" s="20"/>
      <c r="I196" s="20"/>
      <c r="J196" s="20"/>
      <c r="K196" s="50"/>
      <c r="P196" s="57">
        <f t="shared" si="20"/>
        <v>0</v>
      </c>
    </row>
    <row r="197" spans="1:16" ht="22.5" customHeight="1">
      <c r="A197" s="34"/>
      <c r="B197" s="80" t="s">
        <v>21</v>
      </c>
      <c r="C197" s="25"/>
      <c r="D197" s="22"/>
      <c r="E197" s="22">
        <f>D197+F197</f>
        <v>73488.8</v>
      </c>
      <c r="F197" s="22">
        <v>73488.8</v>
      </c>
      <c r="G197" s="22"/>
      <c r="H197" s="20">
        <v>174103.8</v>
      </c>
      <c r="I197" s="20">
        <v>174103.8</v>
      </c>
      <c r="J197" s="22">
        <v>73488.8</v>
      </c>
      <c r="K197" s="52"/>
      <c r="P197" s="57">
        <f t="shared" si="20"/>
        <v>73488.8</v>
      </c>
    </row>
    <row r="198" spans="1:16" ht="22.5" customHeight="1">
      <c r="A198" s="25"/>
      <c r="B198" s="79" t="s">
        <v>22</v>
      </c>
      <c r="C198" s="23"/>
      <c r="D198" s="22"/>
      <c r="E198" s="22">
        <f>D198+F198</f>
        <v>95460.90000000001</v>
      </c>
      <c r="F198" s="22">
        <f>91631.6+3829.3</f>
        <v>95460.90000000001</v>
      </c>
      <c r="G198" s="22"/>
      <c r="H198" s="20">
        <v>21568.39</v>
      </c>
      <c r="I198" s="20">
        <v>21568.39</v>
      </c>
      <c r="J198" s="22">
        <v>64718.3</v>
      </c>
      <c r="K198" s="52"/>
      <c r="P198" s="57">
        <f t="shared" si="20"/>
        <v>95460.90000000001</v>
      </c>
    </row>
    <row r="199" spans="1:16" ht="126" customHeight="1">
      <c r="A199" s="25"/>
      <c r="B199" s="30" t="s">
        <v>207</v>
      </c>
      <c r="C199" s="25"/>
      <c r="D199" s="33">
        <f>D201+D202</f>
        <v>0</v>
      </c>
      <c r="E199" s="33">
        <f>E201+E202</f>
        <v>165405.69999999998</v>
      </c>
      <c r="F199" s="33">
        <f>F201+F202</f>
        <v>165405.69999999998</v>
      </c>
      <c r="G199" s="33"/>
      <c r="H199" s="33"/>
      <c r="I199" s="33"/>
      <c r="J199" s="33"/>
      <c r="K199" s="48"/>
      <c r="P199" s="57">
        <f t="shared" si="20"/>
        <v>165405.69999999998</v>
      </c>
    </row>
    <row r="200" spans="1:16" ht="25.5" customHeight="1">
      <c r="A200" s="25"/>
      <c r="B200" s="82" t="s">
        <v>20</v>
      </c>
      <c r="C200" s="23"/>
      <c r="D200" s="33"/>
      <c r="E200" s="33"/>
      <c r="F200" s="33"/>
      <c r="G200" s="33"/>
      <c r="H200" s="33"/>
      <c r="I200" s="33"/>
      <c r="J200" s="33"/>
      <c r="K200" s="48"/>
      <c r="P200" s="57">
        <f t="shared" si="20"/>
        <v>0</v>
      </c>
    </row>
    <row r="201" spans="1:16" ht="24.75" customHeight="1">
      <c r="A201" s="25"/>
      <c r="B201" s="83" t="s">
        <v>21</v>
      </c>
      <c r="C201" s="23" t="s">
        <v>17</v>
      </c>
      <c r="D201" s="33">
        <f aca="true" t="shared" si="21" ref="D201:F202">D205+D209+D213+D221+D225+D229+D233+D237+D217</f>
        <v>0</v>
      </c>
      <c r="E201" s="33">
        <f t="shared" si="21"/>
        <v>140594.9</v>
      </c>
      <c r="F201" s="33">
        <f t="shared" si="21"/>
        <v>140594.9</v>
      </c>
      <c r="G201" s="33"/>
      <c r="H201" s="33"/>
      <c r="I201" s="33"/>
      <c r="J201" s="33"/>
      <c r="K201" s="48"/>
      <c r="P201" s="57">
        <f t="shared" si="20"/>
        <v>140594.9</v>
      </c>
    </row>
    <row r="202" spans="1:16" ht="28.5" customHeight="1">
      <c r="A202" s="25"/>
      <c r="B202" s="82" t="s">
        <v>22</v>
      </c>
      <c r="C202" s="23" t="s">
        <v>17</v>
      </c>
      <c r="D202" s="33">
        <f t="shared" si="21"/>
        <v>0</v>
      </c>
      <c r="E202" s="33">
        <f t="shared" si="21"/>
        <v>24810.799999999996</v>
      </c>
      <c r="F202" s="33">
        <f t="shared" si="21"/>
        <v>24810.799999999996</v>
      </c>
      <c r="G202" s="33"/>
      <c r="H202" s="33"/>
      <c r="I202" s="33"/>
      <c r="J202" s="33"/>
      <c r="K202" s="48"/>
      <c r="P202" s="57">
        <f t="shared" si="20"/>
        <v>24810.799999999996</v>
      </c>
    </row>
    <row r="203" spans="1:16" ht="93.75" customHeight="1">
      <c r="A203" s="34">
        <v>23</v>
      </c>
      <c r="B203" s="28" t="s">
        <v>154</v>
      </c>
      <c r="C203" s="25" t="s">
        <v>17</v>
      </c>
      <c r="D203" s="22">
        <f>SUM(D205:D206)</f>
        <v>0</v>
      </c>
      <c r="E203" s="22">
        <f>SUM(E205:E206)</f>
        <v>15541.5</v>
      </c>
      <c r="F203" s="22">
        <f>SUM(F205:F206)</f>
        <v>15541.5</v>
      </c>
      <c r="G203" s="85" t="s">
        <v>19</v>
      </c>
      <c r="H203" s="20"/>
      <c r="I203" s="20"/>
      <c r="J203" s="22"/>
      <c r="K203" s="52"/>
      <c r="P203" s="57">
        <f t="shared" si="20"/>
        <v>15541.5</v>
      </c>
    </row>
    <row r="204" spans="1:16" ht="30" customHeight="1">
      <c r="A204" s="34"/>
      <c r="B204" s="79" t="s">
        <v>20</v>
      </c>
      <c r="C204" s="25"/>
      <c r="D204" s="22"/>
      <c r="E204" s="22"/>
      <c r="F204" s="22"/>
      <c r="G204" s="22"/>
      <c r="H204" s="20"/>
      <c r="I204" s="20"/>
      <c r="J204" s="22"/>
      <c r="K204" s="52"/>
      <c r="P204" s="57">
        <f t="shared" si="20"/>
        <v>0</v>
      </c>
    </row>
    <row r="205" spans="1:16" ht="30" customHeight="1">
      <c r="A205" s="34"/>
      <c r="B205" s="80" t="s">
        <v>21</v>
      </c>
      <c r="C205" s="25"/>
      <c r="D205" s="22"/>
      <c r="E205" s="22">
        <f>D205+F205</f>
        <v>13210.3</v>
      </c>
      <c r="F205" s="22">
        <v>13210.3</v>
      </c>
      <c r="G205" s="22"/>
      <c r="H205" s="20"/>
      <c r="I205" s="20"/>
      <c r="J205" s="22"/>
      <c r="K205" s="52"/>
      <c r="P205" s="57">
        <f t="shared" si="20"/>
        <v>13210.3</v>
      </c>
    </row>
    <row r="206" spans="1:16" ht="30" customHeight="1">
      <c r="A206" s="25"/>
      <c r="B206" s="79" t="s">
        <v>22</v>
      </c>
      <c r="C206" s="23"/>
      <c r="D206" s="22"/>
      <c r="E206" s="22">
        <f>D206+F206</f>
        <v>2331.2</v>
      </c>
      <c r="F206" s="22">
        <v>2331.2</v>
      </c>
      <c r="G206" s="22"/>
      <c r="H206" s="20"/>
      <c r="I206" s="20"/>
      <c r="J206" s="22"/>
      <c r="K206" s="52"/>
      <c r="P206" s="57">
        <f t="shared" si="20"/>
        <v>2331.2</v>
      </c>
    </row>
    <row r="207" spans="1:16" ht="81" customHeight="1">
      <c r="A207" s="34">
        <v>24</v>
      </c>
      <c r="B207" s="28" t="s">
        <v>127</v>
      </c>
      <c r="C207" s="25" t="s">
        <v>17</v>
      </c>
      <c r="D207" s="22">
        <f>SUM(D209:D210)</f>
        <v>0</v>
      </c>
      <c r="E207" s="22">
        <f>SUM(E209:E210)</f>
        <v>24090.5</v>
      </c>
      <c r="F207" s="22">
        <f>SUM(F209:F210)</f>
        <v>24090.5</v>
      </c>
      <c r="G207" s="85" t="s">
        <v>19</v>
      </c>
      <c r="H207" s="20"/>
      <c r="I207" s="20"/>
      <c r="J207" s="22"/>
      <c r="K207" s="52"/>
      <c r="P207" s="57">
        <f t="shared" si="20"/>
        <v>24090.5</v>
      </c>
    </row>
    <row r="208" spans="1:16" ht="30" customHeight="1">
      <c r="A208" s="34"/>
      <c r="B208" s="79" t="s">
        <v>20</v>
      </c>
      <c r="C208" s="25"/>
      <c r="D208" s="22"/>
      <c r="E208" s="22"/>
      <c r="F208" s="22"/>
      <c r="G208" s="22"/>
      <c r="H208" s="20"/>
      <c r="I208" s="20"/>
      <c r="J208" s="22"/>
      <c r="K208" s="52"/>
      <c r="P208" s="57">
        <f t="shared" si="20"/>
        <v>0</v>
      </c>
    </row>
    <row r="209" spans="1:16" ht="30" customHeight="1">
      <c r="A209" s="34"/>
      <c r="B209" s="80" t="s">
        <v>21</v>
      </c>
      <c r="C209" s="25"/>
      <c r="D209" s="22"/>
      <c r="E209" s="22">
        <f>D209+F209</f>
        <v>20476.9</v>
      </c>
      <c r="F209" s="22">
        <v>20476.9</v>
      </c>
      <c r="G209" s="22"/>
      <c r="H209" s="20"/>
      <c r="I209" s="20"/>
      <c r="J209" s="22"/>
      <c r="K209" s="52"/>
      <c r="P209" s="57">
        <f t="shared" si="20"/>
        <v>20476.9</v>
      </c>
    </row>
    <row r="210" spans="1:16" ht="30" customHeight="1">
      <c r="A210" s="25"/>
      <c r="B210" s="79" t="s">
        <v>22</v>
      </c>
      <c r="C210" s="23"/>
      <c r="D210" s="22"/>
      <c r="E210" s="22">
        <f>D210+F210</f>
        <v>3613.6</v>
      </c>
      <c r="F210" s="22">
        <v>3613.6</v>
      </c>
      <c r="G210" s="22"/>
      <c r="H210" s="20"/>
      <c r="I210" s="20"/>
      <c r="J210" s="22"/>
      <c r="K210" s="52"/>
      <c r="P210" s="57">
        <f t="shared" si="20"/>
        <v>3613.6</v>
      </c>
    </row>
    <row r="211" spans="1:16" ht="97.5" customHeight="1">
      <c r="A211" s="34">
        <v>25</v>
      </c>
      <c r="B211" s="28" t="s">
        <v>128</v>
      </c>
      <c r="C211" s="25" t="s">
        <v>17</v>
      </c>
      <c r="D211" s="22">
        <f>SUM(D213:D214)</f>
        <v>0</v>
      </c>
      <c r="E211" s="21">
        <f>SUM(E213:E214)</f>
        <v>21092</v>
      </c>
      <c r="F211" s="22">
        <f>SUM(F213:F214)</f>
        <v>21092</v>
      </c>
      <c r="G211" s="85" t="s">
        <v>19</v>
      </c>
      <c r="H211" s="20"/>
      <c r="I211" s="20"/>
      <c r="J211" s="22"/>
      <c r="K211" s="52"/>
      <c r="P211" s="57">
        <f t="shared" si="20"/>
        <v>21092</v>
      </c>
    </row>
    <row r="212" spans="1:16" ht="21.75" customHeight="1">
      <c r="A212" s="34"/>
      <c r="B212" s="79" t="s">
        <v>20</v>
      </c>
      <c r="C212" s="25"/>
      <c r="D212" s="22"/>
      <c r="E212" s="22"/>
      <c r="F212" s="22"/>
      <c r="G212" s="22"/>
      <c r="H212" s="20"/>
      <c r="I212" s="20"/>
      <c r="J212" s="22"/>
      <c r="K212" s="52"/>
      <c r="P212" s="57">
        <f t="shared" si="20"/>
        <v>0</v>
      </c>
    </row>
    <row r="213" spans="1:16" ht="21.75" customHeight="1">
      <c r="A213" s="34"/>
      <c r="B213" s="80" t="s">
        <v>21</v>
      </c>
      <c r="C213" s="25"/>
      <c r="D213" s="22"/>
      <c r="E213" s="22">
        <f>D213+F213</f>
        <v>17928.2</v>
      </c>
      <c r="F213" s="22">
        <v>17928.2</v>
      </c>
      <c r="G213" s="22"/>
      <c r="H213" s="20"/>
      <c r="I213" s="20"/>
      <c r="J213" s="22"/>
      <c r="K213" s="52"/>
      <c r="P213" s="57">
        <f t="shared" si="20"/>
        <v>17928.2</v>
      </c>
    </row>
    <row r="214" spans="1:16" ht="27.75" customHeight="1">
      <c r="A214" s="25"/>
      <c r="B214" s="79" t="s">
        <v>22</v>
      </c>
      <c r="C214" s="23"/>
      <c r="D214" s="22"/>
      <c r="E214" s="22">
        <f>D214+F214</f>
        <v>3163.8</v>
      </c>
      <c r="F214" s="22">
        <v>3163.8</v>
      </c>
      <c r="G214" s="22"/>
      <c r="H214" s="20"/>
      <c r="I214" s="20"/>
      <c r="J214" s="22"/>
      <c r="K214" s="52"/>
      <c r="P214" s="57">
        <f t="shared" si="20"/>
        <v>3163.8</v>
      </c>
    </row>
    <row r="215" spans="1:16" ht="90" customHeight="1">
      <c r="A215" s="34">
        <v>26</v>
      </c>
      <c r="B215" s="28" t="s">
        <v>129</v>
      </c>
      <c r="C215" s="25" t="s">
        <v>17</v>
      </c>
      <c r="D215" s="22">
        <f>SUM(D217:D218)</f>
        <v>0</v>
      </c>
      <c r="E215" s="22">
        <f>SUM(E217:E218)</f>
        <v>24090.5</v>
      </c>
      <c r="F215" s="22">
        <f>SUM(F217:F218)</f>
        <v>24090.5</v>
      </c>
      <c r="G215" s="85" t="s">
        <v>19</v>
      </c>
      <c r="H215" s="20"/>
      <c r="I215" s="20"/>
      <c r="J215" s="22"/>
      <c r="K215" s="52"/>
      <c r="P215" s="57">
        <f t="shared" si="20"/>
        <v>24090.5</v>
      </c>
    </row>
    <row r="216" spans="1:16" ht="26.25" customHeight="1">
      <c r="A216" s="34"/>
      <c r="B216" s="79" t="s">
        <v>20</v>
      </c>
      <c r="C216" s="25"/>
      <c r="D216" s="22"/>
      <c r="E216" s="22"/>
      <c r="F216" s="22"/>
      <c r="G216" s="22"/>
      <c r="H216" s="20"/>
      <c r="I216" s="20"/>
      <c r="J216" s="22"/>
      <c r="K216" s="52"/>
      <c r="P216" s="57">
        <f t="shared" si="20"/>
        <v>0</v>
      </c>
    </row>
    <row r="217" spans="1:16" ht="30" customHeight="1">
      <c r="A217" s="34"/>
      <c r="B217" s="80" t="s">
        <v>21</v>
      </c>
      <c r="C217" s="25"/>
      <c r="D217" s="22"/>
      <c r="E217" s="22">
        <f>D217+F217</f>
        <v>20476.9</v>
      </c>
      <c r="F217" s="22">
        <v>20476.9</v>
      </c>
      <c r="G217" s="22"/>
      <c r="H217" s="20"/>
      <c r="I217" s="20"/>
      <c r="J217" s="22"/>
      <c r="K217" s="52"/>
      <c r="P217" s="57">
        <f t="shared" si="20"/>
        <v>20476.9</v>
      </c>
    </row>
    <row r="218" spans="1:16" ht="30" customHeight="1">
      <c r="A218" s="25"/>
      <c r="B218" s="79" t="s">
        <v>22</v>
      </c>
      <c r="C218" s="23"/>
      <c r="D218" s="22"/>
      <c r="E218" s="22">
        <f>D218+F218</f>
        <v>3613.6</v>
      </c>
      <c r="F218" s="22">
        <v>3613.6</v>
      </c>
      <c r="G218" s="22"/>
      <c r="H218" s="20"/>
      <c r="I218" s="20"/>
      <c r="J218" s="22"/>
      <c r="K218" s="52"/>
      <c r="P218" s="57">
        <f t="shared" si="20"/>
        <v>3613.6</v>
      </c>
    </row>
    <row r="219" spans="1:16" ht="77.25" customHeight="1">
      <c r="A219" s="34">
        <v>27</v>
      </c>
      <c r="B219" s="28" t="s">
        <v>155</v>
      </c>
      <c r="C219" s="25" t="s">
        <v>17</v>
      </c>
      <c r="D219" s="22">
        <f>SUM(D221:D222)</f>
        <v>0</v>
      </c>
      <c r="E219" s="22">
        <f>SUM(E221:E222)</f>
        <v>15541.5</v>
      </c>
      <c r="F219" s="22">
        <f>SUM(F221:F222)</f>
        <v>15541.5</v>
      </c>
      <c r="G219" s="85" t="s">
        <v>19</v>
      </c>
      <c r="H219" s="20"/>
      <c r="I219" s="20"/>
      <c r="J219" s="22"/>
      <c r="K219" s="52"/>
      <c r="P219" s="57">
        <f t="shared" si="20"/>
        <v>15541.5</v>
      </c>
    </row>
    <row r="220" spans="1:16" ht="30" customHeight="1">
      <c r="A220" s="34"/>
      <c r="B220" s="79" t="s">
        <v>20</v>
      </c>
      <c r="C220" s="25"/>
      <c r="D220" s="22"/>
      <c r="E220" s="22"/>
      <c r="F220" s="22"/>
      <c r="G220" s="22"/>
      <c r="H220" s="20"/>
      <c r="I220" s="20"/>
      <c r="J220" s="22"/>
      <c r="K220" s="52"/>
      <c r="P220" s="57">
        <f t="shared" si="20"/>
        <v>0</v>
      </c>
    </row>
    <row r="221" spans="1:16" ht="30" customHeight="1">
      <c r="A221" s="34"/>
      <c r="B221" s="80" t="s">
        <v>21</v>
      </c>
      <c r="C221" s="25"/>
      <c r="D221" s="22"/>
      <c r="E221" s="22">
        <f>D221+F221</f>
        <v>13210.3</v>
      </c>
      <c r="F221" s="22">
        <v>13210.3</v>
      </c>
      <c r="G221" s="22"/>
      <c r="H221" s="20"/>
      <c r="I221" s="20"/>
      <c r="J221" s="22"/>
      <c r="K221" s="52"/>
      <c r="P221" s="57">
        <f t="shared" si="20"/>
        <v>13210.3</v>
      </c>
    </row>
    <row r="222" spans="1:16" ht="30" customHeight="1">
      <c r="A222" s="25"/>
      <c r="B222" s="79" t="s">
        <v>22</v>
      </c>
      <c r="C222" s="23"/>
      <c r="D222" s="22"/>
      <c r="E222" s="22">
        <f>D222+F222</f>
        <v>2331.2</v>
      </c>
      <c r="F222" s="22">
        <v>2331.2</v>
      </c>
      <c r="G222" s="22"/>
      <c r="H222" s="20"/>
      <c r="I222" s="20"/>
      <c r="J222" s="22"/>
      <c r="K222" s="52"/>
      <c r="P222" s="57">
        <f t="shared" si="20"/>
        <v>2331.2</v>
      </c>
    </row>
    <row r="223" spans="1:16" ht="99" customHeight="1">
      <c r="A223" s="34">
        <v>28</v>
      </c>
      <c r="B223" s="28" t="s">
        <v>130</v>
      </c>
      <c r="C223" s="25" t="s">
        <v>17</v>
      </c>
      <c r="D223" s="22">
        <f>SUM(D225:D226)</f>
        <v>0</v>
      </c>
      <c r="E223" s="22">
        <f>SUM(E225:E226)</f>
        <v>18871.8</v>
      </c>
      <c r="F223" s="22">
        <f>SUM(F225:F226)</f>
        <v>18871.8</v>
      </c>
      <c r="G223" s="85" t="s">
        <v>19</v>
      </c>
      <c r="H223" s="20"/>
      <c r="I223" s="20"/>
      <c r="J223" s="22"/>
      <c r="K223" s="52"/>
      <c r="P223" s="57">
        <f t="shared" si="20"/>
        <v>18871.8</v>
      </c>
    </row>
    <row r="224" spans="1:16" ht="30" customHeight="1">
      <c r="A224" s="34"/>
      <c r="B224" s="79" t="s">
        <v>20</v>
      </c>
      <c r="C224" s="25"/>
      <c r="D224" s="22"/>
      <c r="E224" s="22"/>
      <c r="F224" s="22"/>
      <c r="G224" s="22"/>
      <c r="H224" s="20"/>
      <c r="I224" s="20"/>
      <c r="J224" s="22"/>
      <c r="K224" s="52"/>
      <c r="P224" s="57">
        <f t="shared" si="20"/>
        <v>0</v>
      </c>
    </row>
    <row r="225" spans="1:16" ht="30" customHeight="1">
      <c r="A225" s="34"/>
      <c r="B225" s="80" t="s">
        <v>21</v>
      </c>
      <c r="C225" s="25"/>
      <c r="D225" s="22"/>
      <c r="E225" s="21">
        <f>D225+F225</f>
        <v>16041</v>
      </c>
      <c r="F225" s="22">
        <v>16041</v>
      </c>
      <c r="G225" s="22"/>
      <c r="H225" s="20"/>
      <c r="I225" s="20"/>
      <c r="J225" s="22"/>
      <c r="K225" s="52"/>
      <c r="P225" s="57">
        <f t="shared" si="20"/>
        <v>16041</v>
      </c>
    </row>
    <row r="226" spans="1:16" ht="30" customHeight="1">
      <c r="A226" s="25"/>
      <c r="B226" s="79" t="s">
        <v>22</v>
      </c>
      <c r="C226" s="23"/>
      <c r="D226" s="22"/>
      <c r="E226" s="22">
        <f>D226+F226</f>
        <v>2830.8</v>
      </c>
      <c r="F226" s="22">
        <v>2830.8</v>
      </c>
      <c r="G226" s="22"/>
      <c r="H226" s="20"/>
      <c r="I226" s="20"/>
      <c r="J226" s="22"/>
      <c r="K226" s="52"/>
      <c r="P226" s="57">
        <f t="shared" si="20"/>
        <v>2830.8</v>
      </c>
    </row>
    <row r="227" spans="1:16" ht="93" customHeight="1">
      <c r="A227" s="34">
        <v>29</v>
      </c>
      <c r="B227" s="28" t="s">
        <v>131</v>
      </c>
      <c r="C227" s="25" t="s">
        <v>17</v>
      </c>
      <c r="D227" s="22">
        <f>SUM(D229:D230)</f>
        <v>0</v>
      </c>
      <c r="E227" s="22">
        <f>SUM(E229:E230)</f>
        <v>15541.5</v>
      </c>
      <c r="F227" s="22">
        <f>SUM(F229:F230)</f>
        <v>15541.5</v>
      </c>
      <c r="G227" s="85" t="s">
        <v>19</v>
      </c>
      <c r="H227" s="20"/>
      <c r="I227" s="20"/>
      <c r="J227" s="22"/>
      <c r="K227" s="52"/>
      <c r="P227" s="57">
        <f t="shared" si="20"/>
        <v>15541.5</v>
      </c>
    </row>
    <row r="228" spans="1:16" ht="30" customHeight="1">
      <c r="A228" s="34"/>
      <c r="B228" s="79" t="s">
        <v>20</v>
      </c>
      <c r="C228" s="25"/>
      <c r="D228" s="22"/>
      <c r="E228" s="22"/>
      <c r="F228" s="22"/>
      <c r="G228" s="22"/>
      <c r="H228" s="20"/>
      <c r="I228" s="20"/>
      <c r="J228" s="22"/>
      <c r="K228" s="52"/>
      <c r="P228" s="57">
        <f t="shared" si="20"/>
        <v>0</v>
      </c>
    </row>
    <row r="229" spans="1:16" ht="30" customHeight="1">
      <c r="A229" s="34"/>
      <c r="B229" s="80" t="s">
        <v>21</v>
      </c>
      <c r="C229" s="25"/>
      <c r="D229" s="22"/>
      <c r="E229" s="22">
        <f>D229+F229</f>
        <v>13210.3</v>
      </c>
      <c r="F229" s="22">
        <v>13210.3</v>
      </c>
      <c r="G229" s="22"/>
      <c r="H229" s="20"/>
      <c r="I229" s="20"/>
      <c r="J229" s="22"/>
      <c r="K229" s="52"/>
      <c r="P229" s="57">
        <f t="shared" si="20"/>
        <v>13210.3</v>
      </c>
    </row>
    <row r="230" spans="1:16" ht="30" customHeight="1">
      <c r="A230" s="25"/>
      <c r="B230" s="79" t="s">
        <v>22</v>
      </c>
      <c r="C230" s="23"/>
      <c r="D230" s="22"/>
      <c r="E230" s="22">
        <f>D230+F230</f>
        <v>2331.2</v>
      </c>
      <c r="F230" s="22">
        <v>2331.2</v>
      </c>
      <c r="G230" s="22"/>
      <c r="H230" s="20"/>
      <c r="I230" s="20"/>
      <c r="J230" s="22"/>
      <c r="K230" s="52"/>
      <c r="P230" s="57">
        <f t="shared" si="20"/>
        <v>2331.2</v>
      </c>
    </row>
    <row r="231" spans="1:16" ht="72.75" customHeight="1">
      <c r="A231" s="34">
        <v>30</v>
      </c>
      <c r="B231" s="28" t="s">
        <v>132</v>
      </c>
      <c r="C231" s="25" t="s">
        <v>17</v>
      </c>
      <c r="D231" s="22">
        <f>SUM(D233:D234)</f>
        <v>0</v>
      </c>
      <c r="E231" s="22">
        <f>SUM(E233:E234)</f>
        <v>18871.8</v>
      </c>
      <c r="F231" s="22">
        <f>SUM(F233:F234)</f>
        <v>18871.8</v>
      </c>
      <c r="G231" s="85" t="s">
        <v>19</v>
      </c>
      <c r="H231" s="20"/>
      <c r="I231" s="20"/>
      <c r="J231" s="22"/>
      <c r="K231" s="52"/>
      <c r="P231" s="57">
        <f t="shared" si="20"/>
        <v>18871.8</v>
      </c>
    </row>
    <row r="232" spans="1:16" ht="30" customHeight="1">
      <c r="A232" s="34"/>
      <c r="B232" s="79" t="s">
        <v>20</v>
      </c>
      <c r="C232" s="25"/>
      <c r="D232" s="22"/>
      <c r="E232" s="22"/>
      <c r="F232" s="22"/>
      <c r="G232" s="22"/>
      <c r="H232" s="20"/>
      <c r="I232" s="20"/>
      <c r="J232" s="22"/>
      <c r="K232" s="52"/>
      <c r="P232" s="57">
        <f t="shared" si="20"/>
        <v>0</v>
      </c>
    </row>
    <row r="233" spans="1:16" ht="30" customHeight="1">
      <c r="A233" s="34"/>
      <c r="B233" s="80" t="s">
        <v>21</v>
      </c>
      <c r="C233" s="25"/>
      <c r="D233" s="22"/>
      <c r="E233" s="21">
        <f>D233+F233</f>
        <v>16041</v>
      </c>
      <c r="F233" s="22">
        <v>16041</v>
      </c>
      <c r="G233" s="22"/>
      <c r="H233" s="20"/>
      <c r="I233" s="20"/>
      <c r="J233" s="22"/>
      <c r="K233" s="52"/>
      <c r="P233" s="57">
        <f t="shared" si="20"/>
        <v>16041</v>
      </c>
    </row>
    <row r="234" spans="1:16" ht="30" customHeight="1">
      <c r="A234" s="25"/>
      <c r="B234" s="79" t="s">
        <v>22</v>
      </c>
      <c r="C234" s="23"/>
      <c r="D234" s="22"/>
      <c r="E234" s="22">
        <f>D234+F234</f>
        <v>2830.8</v>
      </c>
      <c r="F234" s="22">
        <v>2830.8</v>
      </c>
      <c r="G234" s="22"/>
      <c r="H234" s="20"/>
      <c r="I234" s="20"/>
      <c r="J234" s="22"/>
      <c r="K234" s="52"/>
      <c r="P234" s="57">
        <f t="shared" si="20"/>
        <v>2830.8</v>
      </c>
    </row>
    <row r="235" spans="1:16" ht="54" customHeight="1">
      <c r="A235" s="25" t="s">
        <v>88</v>
      </c>
      <c r="B235" s="28" t="s">
        <v>133</v>
      </c>
      <c r="C235" s="25" t="s">
        <v>17</v>
      </c>
      <c r="D235" s="22">
        <f>SUM(D237:D238)</f>
        <v>0</v>
      </c>
      <c r="E235" s="22">
        <f>SUM(E237:E238)</f>
        <v>11764.6</v>
      </c>
      <c r="F235" s="22">
        <f>SUM(F237:F238)</f>
        <v>11764.6</v>
      </c>
      <c r="G235" s="85" t="s">
        <v>19</v>
      </c>
      <c r="H235" s="20"/>
      <c r="I235" s="20"/>
      <c r="J235" s="22"/>
      <c r="K235" s="52"/>
      <c r="P235" s="57">
        <f t="shared" si="20"/>
        <v>11764.6</v>
      </c>
    </row>
    <row r="236" spans="1:16" ht="30" customHeight="1">
      <c r="A236" s="25"/>
      <c r="B236" s="79" t="s">
        <v>20</v>
      </c>
      <c r="C236" s="23"/>
      <c r="D236" s="22"/>
      <c r="E236" s="22"/>
      <c r="F236" s="22"/>
      <c r="G236" s="22"/>
      <c r="H236" s="20"/>
      <c r="I236" s="20"/>
      <c r="J236" s="22"/>
      <c r="K236" s="52"/>
      <c r="P236" s="57">
        <f t="shared" si="20"/>
        <v>0</v>
      </c>
    </row>
    <row r="237" spans="1:16" ht="30" customHeight="1">
      <c r="A237" s="25"/>
      <c r="B237" s="80" t="s">
        <v>21</v>
      </c>
      <c r="C237" s="23"/>
      <c r="D237" s="22"/>
      <c r="E237" s="21">
        <f>D237+F237</f>
        <v>10000</v>
      </c>
      <c r="F237" s="22">
        <v>10000</v>
      </c>
      <c r="G237" s="22"/>
      <c r="H237" s="20"/>
      <c r="I237" s="20"/>
      <c r="J237" s="22"/>
      <c r="K237" s="52"/>
      <c r="P237" s="57">
        <f t="shared" si="20"/>
        <v>10000</v>
      </c>
    </row>
    <row r="238" spans="1:16" ht="30" customHeight="1">
      <c r="A238" s="25"/>
      <c r="B238" s="79" t="s">
        <v>22</v>
      </c>
      <c r="C238" s="23"/>
      <c r="D238" s="22"/>
      <c r="E238" s="22">
        <f>D238+F238</f>
        <v>1764.6</v>
      </c>
      <c r="F238" s="22">
        <v>1764.6</v>
      </c>
      <c r="G238" s="22"/>
      <c r="H238" s="20"/>
      <c r="I238" s="20"/>
      <c r="J238" s="22"/>
      <c r="K238" s="52"/>
      <c r="P238" s="57">
        <f t="shared" si="20"/>
        <v>1764.6</v>
      </c>
    </row>
    <row r="239" spans="1:16" ht="39" customHeight="1">
      <c r="A239" s="25"/>
      <c r="B239" s="30" t="s">
        <v>16</v>
      </c>
      <c r="C239" s="23" t="s">
        <v>17</v>
      </c>
      <c r="D239" s="33">
        <f>D255+D259+D263+D267+D247+D243</f>
        <v>0</v>
      </c>
      <c r="E239" s="27">
        <f>E255+E259+E263+E267+E247+E243</f>
        <v>2078259</v>
      </c>
      <c r="F239" s="33">
        <f>F255+F259+F263+F267+F247+F243</f>
        <v>2078259</v>
      </c>
      <c r="G239" s="33"/>
      <c r="H239" s="33">
        <f>H255+H259+H263+H267+H247+H243</f>
        <v>2255294.3</v>
      </c>
      <c r="I239" s="33">
        <f>I255+I259+I263+I267+I247+I243</f>
        <v>2255294.3</v>
      </c>
      <c r="J239" s="33">
        <f>J255+J259+J263+J267+J247+J243</f>
        <v>600831.3</v>
      </c>
      <c r="K239" s="48"/>
      <c r="P239" s="57">
        <f t="shared" si="20"/>
        <v>2078259</v>
      </c>
    </row>
    <row r="240" spans="1:16" ht="23.25" customHeight="1">
      <c r="A240" s="81"/>
      <c r="B240" s="82" t="s">
        <v>20</v>
      </c>
      <c r="C240" s="23"/>
      <c r="D240" s="33"/>
      <c r="E240" s="27"/>
      <c r="F240" s="33"/>
      <c r="G240" s="27"/>
      <c r="H240" s="15"/>
      <c r="I240" s="15"/>
      <c r="J240" s="27"/>
      <c r="K240" s="47"/>
      <c r="P240" s="57">
        <f t="shared" si="20"/>
        <v>0</v>
      </c>
    </row>
    <row r="241" spans="1:16" ht="24" customHeight="1">
      <c r="A241" s="81"/>
      <c r="B241" s="83" t="s">
        <v>21</v>
      </c>
      <c r="C241" s="23" t="s">
        <v>17</v>
      </c>
      <c r="D241" s="33">
        <f aca="true" t="shared" si="22" ref="D241:F242">D257+D261+D265+D269+D245+D249</f>
        <v>0</v>
      </c>
      <c r="E241" s="27">
        <f>E257+E261+E265+E269+E245+E249</f>
        <v>850000</v>
      </c>
      <c r="F241" s="33">
        <f t="shared" si="22"/>
        <v>850000</v>
      </c>
      <c r="G241" s="27"/>
      <c r="H241" s="15">
        <f aca="true" t="shared" si="23" ref="H241:J242">H257+H261+H265+H269+H245+H249</f>
        <v>1587408.44</v>
      </c>
      <c r="I241" s="15">
        <f t="shared" si="23"/>
        <v>1587408.44</v>
      </c>
      <c r="J241" s="27">
        <f t="shared" si="23"/>
        <v>0</v>
      </c>
      <c r="K241" s="47"/>
      <c r="P241" s="57">
        <f t="shared" si="20"/>
        <v>850000</v>
      </c>
    </row>
    <row r="242" spans="1:16" ht="26.25" customHeight="1">
      <c r="A242" s="81"/>
      <c r="B242" s="82" t="s">
        <v>22</v>
      </c>
      <c r="C242" s="23" t="s">
        <v>17</v>
      </c>
      <c r="D242" s="33">
        <f t="shared" si="22"/>
        <v>0</v>
      </c>
      <c r="E242" s="27">
        <f>E258+E262+E266+E270+E246+E250</f>
        <v>1228259</v>
      </c>
      <c r="F242" s="33">
        <f t="shared" si="22"/>
        <v>1228259</v>
      </c>
      <c r="G242" s="27"/>
      <c r="H242" s="15">
        <f t="shared" si="23"/>
        <v>667885.8600000001</v>
      </c>
      <c r="I242" s="15">
        <f t="shared" si="23"/>
        <v>667885.8600000001</v>
      </c>
      <c r="J242" s="27">
        <f t="shared" si="23"/>
        <v>600831.3</v>
      </c>
      <c r="K242" s="47"/>
      <c r="P242" s="57">
        <f t="shared" si="20"/>
        <v>1228259</v>
      </c>
    </row>
    <row r="243" spans="1:16" ht="51" customHeight="1">
      <c r="A243" s="81" t="s">
        <v>89</v>
      </c>
      <c r="B243" s="28" t="s">
        <v>151</v>
      </c>
      <c r="C243" s="25" t="s">
        <v>17</v>
      </c>
      <c r="D243" s="22">
        <f>SUM(D246)</f>
        <v>0</v>
      </c>
      <c r="E243" s="22">
        <f>SUM(E246)</f>
        <v>133945.4</v>
      </c>
      <c r="F243" s="22">
        <f>SUM(F246)</f>
        <v>133945.4</v>
      </c>
      <c r="G243" s="85" t="s">
        <v>19</v>
      </c>
      <c r="H243" s="20">
        <f>SUM(H246)</f>
        <v>106760.67</v>
      </c>
      <c r="I243" s="20">
        <f>SUM(I246)</f>
        <v>106760.67</v>
      </c>
      <c r="J243" s="22">
        <f>SUM(J246)</f>
        <v>60000</v>
      </c>
      <c r="K243" s="52"/>
      <c r="P243" s="57">
        <f t="shared" si="20"/>
        <v>133945.4</v>
      </c>
    </row>
    <row r="244" spans="1:16" ht="27.75" customHeight="1">
      <c r="A244" s="23"/>
      <c r="B244" s="79" t="s">
        <v>20</v>
      </c>
      <c r="C244" s="23"/>
      <c r="D244" s="33"/>
      <c r="E244" s="33"/>
      <c r="F244" s="33"/>
      <c r="G244" s="86"/>
      <c r="H244" s="15"/>
      <c r="I244" s="15"/>
      <c r="J244" s="86"/>
      <c r="K244" s="60"/>
      <c r="P244" s="57">
        <f t="shared" si="20"/>
        <v>0</v>
      </c>
    </row>
    <row r="245" spans="1:16" ht="27.75" customHeight="1" hidden="1">
      <c r="A245" s="23"/>
      <c r="B245" s="80" t="s">
        <v>21</v>
      </c>
      <c r="C245" s="23"/>
      <c r="D245" s="22"/>
      <c r="E245" s="22"/>
      <c r="F245" s="22"/>
      <c r="G245" s="43"/>
      <c r="H245" s="20"/>
      <c r="I245" s="20"/>
      <c r="J245" s="43"/>
      <c r="K245" s="59"/>
      <c r="P245" s="57">
        <f t="shared" si="20"/>
        <v>0</v>
      </c>
    </row>
    <row r="246" spans="1:16" ht="27.75" customHeight="1">
      <c r="A246" s="23"/>
      <c r="B246" s="79" t="s">
        <v>22</v>
      </c>
      <c r="C246" s="23"/>
      <c r="D246" s="22"/>
      <c r="E246" s="22">
        <f>D246+F246</f>
        <v>133945.4</v>
      </c>
      <c r="F246" s="22">
        <f>123631.4+10314</f>
        <v>133945.4</v>
      </c>
      <c r="G246" s="22"/>
      <c r="H246" s="20">
        <v>106760.67</v>
      </c>
      <c r="I246" s="20">
        <v>106760.67</v>
      </c>
      <c r="J246" s="22">
        <v>60000</v>
      </c>
      <c r="K246" s="52"/>
      <c r="P246" s="57">
        <f t="shared" si="20"/>
        <v>133945.4</v>
      </c>
    </row>
    <row r="247" spans="1:16" ht="51.75" customHeight="1">
      <c r="A247" s="81" t="s">
        <v>90</v>
      </c>
      <c r="B247" s="28" t="s">
        <v>150</v>
      </c>
      <c r="C247" s="25" t="s">
        <v>17</v>
      </c>
      <c r="D247" s="22">
        <f>D249+D250</f>
        <v>0</v>
      </c>
      <c r="E247" s="22">
        <f>E249+E250</f>
        <v>114916.9</v>
      </c>
      <c r="F247" s="22">
        <f>F249+F250</f>
        <v>114916.9</v>
      </c>
      <c r="G247" s="85" t="s">
        <v>19</v>
      </c>
      <c r="H247" s="20">
        <f>H249+H250</f>
        <v>115031.32</v>
      </c>
      <c r="I247" s="20">
        <f>I249+I250</f>
        <v>115031.32</v>
      </c>
      <c r="J247" s="43">
        <f>J249+J250</f>
        <v>118480</v>
      </c>
      <c r="K247" s="59"/>
      <c r="P247" s="57">
        <f t="shared" si="20"/>
        <v>114916.9</v>
      </c>
    </row>
    <row r="248" spans="1:16" ht="27.75" customHeight="1">
      <c r="A248" s="23"/>
      <c r="B248" s="79" t="s">
        <v>20</v>
      </c>
      <c r="C248" s="23"/>
      <c r="D248" s="33"/>
      <c r="E248" s="33"/>
      <c r="F248" s="33"/>
      <c r="G248" s="86"/>
      <c r="H248" s="15"/>
      <c r="I248" s="15"/>
      <c r="J248" s="86"/>
      <c r="K248" s="60"/>
      <c r="P248" s="57">
        <f t="shared" si="20"/>
        <v>0</v>
      </c>
    </row>
    <row r="249" spans="1:16" ht="27.75" customHeight="1" hidden="1">
      <c r="A249" s="23"/>
      <c r="B249" s="80" t="s">
        <v>21</v>
      </c>
      <c r="C249" s="23"/>
      <c r="D249" s="22"/>
      <c r="E249" s="22"/>
      <c r="F249" s="22"/>
      <c r="G249" s="43"/>
      <c r="H249" s="20"/>
      <c r="I249" s="20"/>
      <c r="J249" s="43"/>
      <c r="K249" s="59"/>
      <c r="P249" s="57">
        <f t="shared" si="20"/>
        <v>0</v>
      </c>
    </row>
    <row r="250" spans="1:16" ht="27.75" customHeight="1">
      <c r="A250" s="23"/>
      <c r="B250" s="79" t="s">
        <v>22</v>
      </c>
      <c r="C250" s="23"/>
      <c r="D250" s="22"/>
      <c r="E250" s="22">
        <f>D250+F250</f>
        <v>114916.9</v>
      </c>
      <c r="F250" s="22">
        <f>111118.2+3798.7</f>
        <v>114916.9</v>
      </c>
      <c r="G250" s="43"/>
      <c r="H250" s="20">
        <v>115031.32</v>
      </c>
      <c r="I250" s="20">
        <v>115031.32</v>
      </c>
      <c r="J250" s="43">
        <v>118480</v>
      </c>
      <c r="K250" s="59"/>
      <c r="P250" s="57">
        <f aca="true" t="shared" si="24" ref="P250:P313">F250+D250</f>
        <v>114916.9</v>
      </c>
    </row>
    <row r="251" spans="1:16" ht="27.75" customHeight="1">
      <c r="A251" s="90"/>
      <c r="B251" s="30" t="s">
        <v>141</v>
      </c>
      <c r="C251" s="23" t="s">
        <v>17</v>
      </c>
      <c r="D251" s="33">
        <f>D253+D254</f>
        <v>0</v>
      </c>
      <c r="E251" s="33">
        <f>E253+E254</f>
        <v>1829396.7000000002</v>
      </c>
      <c r="F251" s="33">
        <f>F253+F254</f>
        <v>1829396.7000000002</v>
      </c>
      <c r="G251" s="43"/>
      <c r="H251" s="20"/>
      <c r="I251" s="20"/>
      <c r="J251" s="43"/>
      <c r="K251" s="59"/>
      <c r="P251" s="57">
        <f t="shared" si="24"/>
        <v>1829396.7000000002</v>
      </c>
    </row>
    <row r="252" spans="1:16" ht="27.75" customHeight="1">
      <c r="A252" s="90"/>
      <c r="B252" s="82" t="s">
        <v>20</v>
      </c>
      <c r="C252" s="23"/>
      <c r="D252" s="22"/>
      <c r="E252" s="22"/>
      <c r="F252" s="22"/>
      <c r="G252" s="43"/>
      <c r="H252" s="20"/>
      <c r="I252" s="20"/>
      <c r="J252" s="43"/>
      <c r="K252" s="59"/>
      <c r="P252" s="57">
        <f t="shared" si="24"/>
        <v>0</v>
      </c>
    </row>
    <row r="253" spans="1:16" ht="27.75" customHeight="1">
      <c r="A253" s="90"/>
      <c r="B253" s="83" t="s">
        <v>21</v>
      </c>
      <c r="C253" s="23" t="s">
        <v>17</v>
      </c>
      <c r="D253" s="33">
        <f aca="true" t="shared" si="25" ref="D253:F254">D257+D261+D265+D269</f>
        <v>0</v>
      </c>
      <c r="E253" s="27">
        <f t="shared" si="25"/>
        <v>850000</v>
      </c>
      <c r="F253" s="33">
        <f t="shared" si="25"/>
        <v>850000</v>
      </c>
      <c r="G253" s="43"/>
      <c r="H253" s="20"/>
      <c r="I253" s="20"/>
      <c r="J253" s="43"/>
      <c r="K253" s="59"/>
      <c r="P253" s="57">
        <f t="shared" si="24"/>
        <v>850000</v>
      </c>
    </row>
    <row r="254" spans="1:16" ht="27.75" customHeight="1">
      <c r="A254" s="90"/>
      <c r="B254" s="82" t="s">
        <v>22</v>
      </c>
      <c r="C254" s="23" t="s">
        <v>17</v>
      </c>
      <c r="D254" s="33">
        <f t="shared" si="25"/>
        <v>0</v>
      </c>
      <c r="E254" s="33">
        <f t="shared" si="25"/>
        <v>979396.7000000001</v>
      </c>
      <c r="F254" s="33">
        <f t="shared" si="25"/>
        <v>979396.7000000001</v>
      </c>
      <c r="G254" s="43"/>
      <c r="H254" s="20"/>
      <c r="I254" s="20"/>
      <c r="J254" s="43"/>
      <c r="K254" s="59"/>
      <c r="P254" s="57">
        <f t="shared" si="24"/>
        <v>979396.7000000001</v>
      </c>
    </row>
    <row r="255" spans="1:16" ht="87" customHeight="1">
      <c r="A255" s="81" t="s">
        <v>91</v>
      </c>
      <c r="B255" s="28" t="s">
        <v>120</v>
      </c>
      <c r="C255" s="25" t="s">
        <v>17</v>
      </c>
      <c r="D255" s="22">
        <f>D257+D258</f>
        <v>0</v>
      </c>
      <c r="E255" s="22">
        <f>E257+E258</f>
        <v>246208.5</v>
      </c>
      <c r="F255" s="22">
        <f>F257+F258</f>
        <v>246208.5</v>
      </c>
      <c r="G255" s="85" t="s">
        <v>19</v>
      </c>
      <c r="H255" s="20">
        <f>H257+H258</f>
        <v>248206.7</v>
      </c>
      <c r="I255" s="20">
        <f>I257+I258</f>
        <v>248206.7</v>
      </c>
      <c r="J255" s="22">
        <f>J257+J258</f>
        <v>77715.2</v>
      </c>
      <c r="K255" s="52"/>
      <c r="P255" s="57">
        <f t="shared" si="24"/>
        <v>246208.5</v>
      </c>
    </row>
    <row r="256" spans="1:16" ht="27.75" customHeight="1">
      <c r="A256" s="81"/>
      <c r="B256" s="79" t="s">
        <v>20</v>
      </c>
      <c r="C256" s="25"/>
      <c r="D256" s="22"/>
      <c r="E256" s="22"/>
      <c r="F256" s="22"/>
      <c r="G256" s="43"/>
      <c r="H256" s="20"/>
      <c r="I256" s="20"/>
      <c r="J256" s="43"/>
      <c r="K256" s="59"/>
      <c r="P256" s="57">
        <f t="shared" si="24"/>
        <v>0</v>
      </c>
    </row>
    <row r="257" spans="1:16" ht="27.75" customHeight="1">
      <c r="A257" s="81"/>
      <c r="B257" s="80" t="s">
        <v>21</v>
      </c>
      <c r="C257" s="25"/>
      <c r="D257" s="22"/>
      <c r="E257" s="21">
        <f>D257+F257</f>
        <v>100000</v>
      </c>
      <c r="F257" s="22">
        <v>100000</v>
      </c>
      <c r="G257" s="21"/>
      <c r="H257" s="20"/>
      <c r="I257" s="20"/>
      <c r="J257" s="21"/>
      <c r="K257" s="51"/>
      <c r="P257" s="57">
        <f t="shared" si="24"/>
        <v>100000</v>
      </c>
    </row>
    <row r="258" spans="1:16" ht="27.75" customHeight="1">
      <c r="A258" s="81"/>
      <c r="B258" s="79" t="s">
        <v>22</v>
      </c>
      <c r="C258" s="25"/>
      <c r="D258" s="22"/>
      <c r="E258" s="22">
        <f>D258+F258</f>
        <v>146208.5</v>
      </c>
      <c r="F258" s="22">
        <f>141566+4642.5</f>
        <v>146208.5</v>
      </c>
      <c r="G258" s="22"/>
      <c r="H258" s="20">
        <v>248206.7</v>
      </c>
      <c r="I258" s="20">
        <v>248206.7</v>
      </c>
      <c r="J258" s="22">
        <v>77715.2</v>
      </c>
      <c r="K258" s="52"/>
      <c r="P258" s="57">
        <f t="shared" si="24"/>
        <v>146208.5</v>
      </c>
    </row>
    <row r="259" spans="1:16" ht="57" customHeight="1">
      <c r="A259" s="81" t="s">
        <v>140</v>
      </c>
      <c r="B259" s="84" t="s">
        <v>208</v>
      </c>
      <c r="C259" s="25" t="s">
        <v>17</v>
      </c>
      <c r="D259" s="22">
        <f>D261+D262</f>
        <v>0</v>
      </c>
      <c r="E259" s="22">
        <f>E261+E262</f>
        <v>533920.9</v>
      </c>
      <c r="F259" s="22">
        <f>F261+F262</f>
        <v>533920.9</v>
      </c>
      <c r="G259" s="85" t="s">
        <v>19</v>
      </c>
      <c r="H259" s="20">
        <f>H261+H262</f>
        <v>577642.36</v>
      </c>
      <c r="I259" s="20">
        <f>I261+I262</f>
        <v>577642.36</v>
      </c>
      <c r="J259" s="22">
        <f>J261+J262</f>
        <v>101667.7</v>
      </c>
      <c r="K259" s="52"/>
      <c r="P259" s="57">
        <f t="shared" si="24"/>
        <v>533920.9</v>
      </c>
    </row>
    <row r="260" spans="1:16" ht="31.5" customHeight="1">
      <c r="A260" s="81"/>
      <c r="B260" s="79" t="s">
        <v>20</v>
      </c>
      <c r="C260" s="25"/>
      <c r="D260" s="22"/>
      <c r="E260" s="22"/>
      <c r="F260" s="22"/>
      <c r="G260" s="43"/>
      <c r="H260" s="20"/>
      <c r="I260" s="20"/>
      <c r="J260" s="43"/>
      <c r="K260" s="59"/>
      <c r="P260" s="57">
        <f t="shared" si="24"/>
        <v>0</v>
      </c>
    </row>
    <row r="261" spans="1:16" ht="31.5" customHeight="1">
      <c r="A261" s="81"/>
      <c r="B261" s="80" t="s">
        <v>21</v>
      </c>
      <c r="C261" s="25"/>
      <c r="D261" s="22"/>
      <c r="E261" s="21">
        <f>D261+F261</f>
        <v>250000</v>
      </c>
      <c r="F261" s="22">
        <v>250000</v>
      </c>
      <c r="G261" s="21"/>
      <c r="H261" s="20">
        <v>513684.69</v>
      </c>
      <c r="I261" s="20">
        <v>513684.69</v>
      </c>
      <c r="J261" s="21"/>
      <c r="K261" s="51"/>
      <c r="P261" s="57">
        <f t="shared" si="24"/>
        <v>250000</v>
      </c>
    </row>
    <row r="262" spans="1:16" ht="31.5" customHeight="1">
      <c r="A262" s="81"/>
      <c r="B262" s="79" t="s">
        <v>22</v>
      </c>
      <c r="C262" s="25"/>
      <c r="D262" s="22"/>
      <c r="E262" s="22">
        <f>D262+F262</f>
        <v>283920.9</v>
      </c>
      <c r="F262" s="22">
        <f>258154.6+25766.3</f>
        <v>283920.9</v>
      </c>
      <c r="G262" s="22"/>
      <c r="H262" s="20">
        <v>63957.67</v>
      </c>
      <c r="I262" s="20">
        <v>63957.67</v>
      </c>
      <c r="J262" s="22">
        <v>101667.7</v>
      </c>
      <c r="K262" s="52"/>
      <c r="P262" s="57">
        <f t="shared" si="24"/>
        <v>283920.9</v>
      </c>
    </row>
    <row r="263" spans="1:16" ht="60" customHeight="1">
      <c r="A263" s="81" t="s">
        <v>147</v>
      </c>
      <c r="B263" s="84" t="s">
        <v>209</v>
      </c>
      <c r="C263" s="25" t="s">
        <v>17</v>
      </c>
      <c r="D263" s="22">
        <f>D265+D266</f>
        <v>0</v>
      </c>
      <c r="E263" s="22">
        <f>E265+E266</f>
        <v>459852.9</v>
      </c>
      <c r="F263" s="22">
        <f>F265+F266</f>
        <v>459852.9</v>
      </c>
      <c r="G263" s="85" t="s">
        <v>19</v>
      </c>
      <c r="H263" s="20">
        <f>H265+H266</f>
        <v>562706.52</v>
      </c>
      <c r="I263" s="20">
        <f>I265+I266</f>
        <v>562706.52</v>
      </c>
      <c r="J263" s="22">
        <f>J265+J266</f>
        <v>90115.5</v>
      </c>
      <c r="K263" s="52"/>
      <c r="P263" s="57">
        <f t="shared" si="24"/>
        <v>459852.9</v>
      </c>
    </row>
    <row r="264" spans="1:16" ht="25.5" customHeight="1">
      <c r="A264" s="81"/>
      <c r="B264" s="79" t="s">
        <v>20</v>
      </c>
      <c r="C264" s="25"/>
      <c r="D264" s="22"/>
      <c r="E264" s="22"/>
      <c r="F264" s="22"/>
      <c r="G264" s="43"/>
      <c r="H264" s="20"/>
      <c r="I264" s="20"/>
      <c r="J264" s="43"/>
      <c r="K264" s="59"/>
      <c r="P264" s="57">
        <f t="shared" si="24"/>
        <v>0</v>
      </c>
    </row>
    <row r="265" spans="1:16" ht="31.5" customHeight="1">
      <c r="A265" s="81"/>
      <c r="B265" s="80" t="s">
        <v>21</v>
      </c>
      <c r="C265" s="25"/>
      <c r="D265" s="22"/>
      <c r="E265" s="21">
        <f>D265+F265</f>
        <v>250000</v>
      </c>
      <c r="F265" s="22">
        <v>250000</v>
      </c>
      <c r="G265" s="21"/>
      <c r="H265" s="20">
        <v>500219.37</v>
      </c>
      <c r="I265" s="20">
        <v>500219.37</v>
      </c>
      <c r="J265" s="21"/>
      <c r="K265" s="51"/>
      <c r="P265" s="57">
        <f t="shared" si="24"/>
        <v>250000</v>
      </c>
    </row>
    <row r="266" spans="1:16" ht="31.5" customHeight="1">
      <c r="A266" s="81"/>
      <c r="B266" s="79" t="s">
        <v>22</v>
      </c>
      <c r="C266" s="25"/>
      <c r="D266" s="22"/>
      <c r="E266" s="22">
        <f>D266+F266</f>
        <v>209852.9</v>
      </c>
      <c r="F266" s="22">
        <f>173412.8+36440.1</f>
        <v>209852.9</v>
      </c>
      <c r="G266" s="22"/>
      <c r="H266" s="20">
        <v>62487.15</v>
      </c>
      <c r="I266" s="20">
        <v>62487.15</v>
      </c>
      <c r="J266" s="22">
        <v>90115.5</v>
      </c>
      <c r="K266" s="52"/>
      <c r="P266" s="57">
        <f t="shared" si="24"/>
        <v>209852.9</v>
      </c>
    </row>
    <row r="267" spans="1:16" ht="54" customHeight="1">
      <c r="A267" s="81" t="s">
        <v>148</v>
      </c>
      <c r="B267" s="85" t="s">
        <v>210</v>
      </c>
      <c r="C267" s="25" t="s">
        <v>17</v>
      </c>
      <c r="D267" s="22">
        <f>D269+D270</f>
        <v>0</v>
      </c>
      <c r="E267" s="22">
        <f>E269+E270</f>
        <v>589414.4</v>
      </c>
      <c r="F267" s="22">
        <f>F269+F270</f>
        <v>589414.4</v>
      </c>
      <c r="G267" s="85" t="s">
        <v>19</v>
      </c>
      <c r="H267" s="20">
        <f>H269+H270</f>
        <v>644946.73</v>
      </c>
      <c r="I267" s="20">
        <f>I269+I270</f>
        <v>644946.73</v>
      </c>
      <c r="J267" s="22">
        <f>J269+J270</f>
        <v>152852.9</v>
      </c>
      <c r="K267" s="52"/>
      <c r="P267" s="57">
        <f t="shared" si="24"/>
        <v>589414.4</v>
      </c>
    </row>
    <row r="268" spans="1:16" ht="27.75" customHeight="1">
      <c r="A268" s="81"/>
      <c r="B268" s="79" t="s">
        <v>20</v>
      </c>
      <c r="C268" s="25"/>
      <c r="D268" s="22"/>
      <c r="E268" s="22"/>
      <c r="F268" s="22"/>
      <c r="G268" s="22"/>
      <c r="H268" s="20"/>
      <c r="I268" s="20"/>
      <c r="J268" s="22"/>
      <c r="K268" s="52"/>
      <c r="P268" s="57">
        <f t="shared" si="24"/>
        <v>0</v>
      </c>
    </row>
    <row r="269" spans="1:16" ht="27.75" customHeight="1">
      <c r="A269" s="81"/>
      <c r="B269" s="80" t="s">
        <v>21</v>
      </c>
      <c r="C269" s="25"/>
      <c r="D269" s="22"/>
      <c r="E269" s="21">
        <f>D269+F269</f>
        <v>250000</v>
      </c>
      <c r="F269" s="22">
        <v>250000</v>
      </c>
      <c r="G269" s="21"/>
      <c r="H269" s="20">
        <v>573504.38</v>
      </c>
      <c r="I269" s="20">
        <v>573504.38</v>
      </c>
      <c r="J269" s="21"/>
      <c r="K269" s="51"/>
      <c r="P269" s="57">
        <f t="shared" si="24"/>
        <v>250000</v>
      </c>
    </row>
    <row r="270" spans="1:16" ht="27.75" customHeight="1">
      <c r="A270" s="81"/>
      <c r="B270" s="79" t="s">
        <v>22</v>
      </c>
      <c r="C270" s="25"/>
      <c r="D270" s="22"/>
      <c r="E270" s="22">
        <f>D270+F270</f>
        <v>339414.4</v>
      </c>
      <c r="F270" s="22">
        <f>297096.4+42318</f>
        <v>339414.4</v>
      </c>
      <c r="G270" s="22"/>
      <c r="H270" s="20">
        <v>71442.35</v>
      </c>
      <c r="I270" s="20">
        <v>71442.35</v>
      </c>
      <c r="J270" s="22">
        <v>152852.9</v>
      </c>
      <c r="K270" s="52"/>
      <c r="P270" s="57">
        <f t="shared" si="24"/>
        <v>339414.4</v>
      </c>
    </row>
    <row r="271" spans="1:16" ht="27.75" customHeight="1">
      <c r="A271" s="23" t="s">
        <v>44</v>
      </c>
      <c r="B271" s="41" t="s">
        <v>5</v>
      </c>
      <c r="C271" s="23" t="s">
        <v>13</v>
      </c>
      <c r="D271" s="33">
        <f aca="true" t="shared" si="26" ref="D271:J272">D272</f>
        <v>0</v>
      </c>
      <c r="E271" s="77">
        <f t="shared" si="26"/>
        <v>39676.14555</v>
      </c>
      <c r="F271" s="99">
        <f t="shared" si="26"/>
        <v>39676.14555</v>
      </c>
      <c r="G271" s="86"/>
      <c r="H271" s="15">
        <f t="shared" si="26"/>
        <v>0</v>
      </c>
      <c r="I271" s="15">
        <f t="shared" si="26"/>
        <v>0</v>
      </c>
      <c r="J271" s="86">
        <f t="shared" si="26"/>
        <v>0</v>
      </c>
      <c r="K271" s="60"/>
      <c r="P271" s="57">
        <f t="shared" si="24"/>
        <v>39676.14555</v>
      </c>
    </row>
    <row r="272" spans="1:16" ht="27.75" customHeight="1">
      <c r="A272" s="23"/>
      <c r="B272" s="41" t="s">
        <v>28</v>
      </c>
      <c r="C272" s="23" t="s">
        <v>156</v>
      </c>
      <c r="D272" s="33">
        <f t="shared" si="26"/>
        <v>0</v>
      </c>
      <c r="E272" s="77">
        <f t="shared" si="26"/>
        <v>39676.14555</v>
      </c>
      <c r="F272" s="99">
        <f t="shared" si="26"/>
        <v>39676.14555</v>
      </c>
      <c r="G272" s="86"/>
      <c r="H272" s="15">
        <f t="shared" si="26"/>
        <v>0</v>
      </c>
      <c r="I272" s="15">
        <f t="shared" si="26"/>
        <v>0</v>
      </c>
      <c r="J272" s="86">
        <f t="shared" si="26"/>
        <v>0</v>
      </c>
      <c r="K272" s="60"/>
      <c r="P272" s="57">
        <f t="shared" si="24"/>
        <v>39676.14555</v>
      </c>
    </row>
    <row r="273" spans="1:16" ht="88.5" customHeight="1">
      <c r="A273" s="23"/>
      <c r="B273" s="28" t="s">
        <v>11</v>
      </c>
      <c r="C273" s="23" t="s">
        <v>156</v>
      </c>
      <c r="D273" s="33">
        <f>D278+D274</f>
        <v>0</v>
      </c>
      <c r="E273" s="77">
        <f>E278+E274</f>
        <v>39676.14555</v>
      </c>
      <c r="F273" s="99">
        <f>F278+F274</f>
        <v>39676.14555</v>
      </c>
      <c r="G273" s="86"/>
      <c r="H273" s="15">
        <f>H278+H274</f>
        <v>0</v>
      </c>
      <c r="I273" s="15">
        <f>I278+I274</f>
        <v>0</v>
      </c>
      <c r="J273" s="86">
        <f>J278+J274</f>
        <v>0</v>
      </c>
      <c r="K273" s="60"/>
      <c r="P273" s="57">
        <f t="shared" si="24"/>
        <v>39676.14555</v>
      </c>
    </row>
    <row r="274" spans="1:16" ht="57.75" customHeight="1">
      <c r="A274" s="25" t="s">
        <v>149</v>
      </c>
      <c r="B274" s="28" t="s">
        <v>52</v>
      </c>
      <c r="C274" s="25" t="s">
        <v>156</v>
      </c>
      <c r="D274" s="22">
        <f>D276+D277</f>
        <v>0</v>
      </c>
      <c r="E274" s="78">
        <f>E276+E277</f>
        <v>39676.14555</v>
      </c>
      <c r="F274" s="100">
        <f>F276+F277</f>
        <v>39676.14555</v>
      </c>
      <c r="G274" s="85" t="s">
        <v>7</v>
      </c>
      <c r="H274" s="20">
        <f>H276+H277</f>
        <v>0</v>
      </c>
      <c r="I274" s="20">
        <f>I276+I277</f>
        <v>0</v>
      </c>
      <c r="J274" s="43">
        <f>J276+J277</f>
        <v>0</v>
      </c>
      <c r="K274" s="59"/>
      <c r="P274" s="57">
        <f t="shared" si="24"/>
        <v>39676.14555</v>
      </c>
    </row>
    <row r="275" spans="1:16" ht="27.75" customHeight="1">
      <c r="A275" s="25"/>
      <c r="B275" s="80" t="s">
        <v>20</v>
      </c>
      <c r="C275" s="25"/>
      <c r="D275" s="22"/>
      <c r="E275" s="78"/>
      <c r="F275" s="100"/>
      <c r="G275" s="43"/>
      <c r="H275" s="20"/>
      <c r="I275" s="20"/>
      <c r="J275" s="43"/>
      <c r="K275" s="59"/>
      <c r="P275" s="57">
        <f t="shared" si="24"/>
        <v>0</v>
      </c>
    </row>
    <row r="276" spans="1:16" s="5" customFormat="1" ht="25.5" customHeight="1">
      <c r="A276" s="23"/>
      <c r="B276" s="80" t="s">
        <v>21</v>
      </c>
      <c r="C276" s="25"/>
      <c r="D276" s="22"/>
      <c r="E276" s="78">
        <f>D276+F276</f>
        <v>18368.26209</v>
      </c>
      <c r="F276" s="100">
        <v>18368.26209</v>
      </c>
      <c r="G276" s="43"/>
      <c r="H276" s="20"/>
      <c r="I276" s="20"/>
      <c r="J276" s="43"/>
      <c r="K276" s="59"/>
      <c r="P276" s="57">
        <f t="shared" si="24"/>
        <v>18368.26209</v>
      </c>
    </row>
    <row r="277" spans="1:16" s="5" customFormat="1" ht="23.25" customHeight="1">
      <c r="A277" s="23"/>
      <c r="B277" s="79" t="s">
        <v>22</v>
      </c>
      <c r="C277" s="25"/>
      <c r="D277" s="22"/>
      <c r="E277" s="78">
        <f>D277+F277</f>
        <v>21307.88346</v>
      </c>
      <c r="F277" s="78">
        <v>21307.88346</v>
      </c>
      <c r="G277" s="20"/>
      <c r="H277" s="20"/>
      <c r="I277" s="20"/>
      <c r="J277" s="20"/>
      <c r="K277" s="50"/>
      <c r="P277" s="57">
        <f t="shared" si="24"/>
        <v>21307.88346</v>
      </c>
    </row>
    <row r="278" spans="1:16" ht="33" customHeight="1" hidden="1">
      <c r="A278" s="25" t="s">
        <v>80</v>
      </c>
      <c r="B278" s="28" t="s">
        <v>32</v>
      </c>
      <c r="C278" s="25" t="s">
        <v>9</v>
      </c>
      <c r="D278" s="22"/>
      <c r="E278" s="22"/>
      <c r="F278" s="22"/>
      <c r="G278" s="22"/>
      <c r="H278" s="20"/>
      <c r="I278" s="20"/>
      <c r="J278" s="22"/>
      <c r="K278" s="52"/>
      <c r="P278" s="57">
        <f t="shared" si="24"/>
        <v>0</v>
      </c>
    </row>
    <row r="279" spans="1:16" ht="30.75" customHeight="1" hidden="1">
      <c r="A279" s="25"/>
      <c r="B279" s="80" t="s">
        <v>20</v>
      </c>
      <c r="C279" s="25"/>
      <c r="D279" s="22"/>
      <c r="E279" s="22"/>
      <c r="F279" s="22"/>
      <c r="G279" s="43"/>
      <c r="H279" s="20"/>
      <c r="I279" s="20"/>
      <c r="J279" s="43"/>
      <c r="K279" s="59"/>
      <c r="P279" s="57">
        <f t="shared" si="24"/>
        <v>0</v>
      </c>
    </row>
    <row r="280" spans="1:16" s="5" customFormat="1" ht="27" customHeight="1" hidden="1">
      <c r="A280" s="23"/>
      <c r="B280" s="85" t="s">
        <v>21</v>
      </c>
      <c r="C280" s="25" t="s">
        <v>9</v>
      </c>
      <c r="D280" s="22"/>
      <c r="E280" s="22"/>
      <c r="F280" s="22"/>
      <c r="G280" s="43"/>
      <c r="H280" s="20"/>
      <c r="I280" s="20"/>
      <c r="J280" s="43"/>
      <c r="K280" s="59"/>
      <c r="P280" s="57">
        <f t="shared" si="24"/>
        <v>0</v>
      </c>
    </row>
    <row r="281" spans="1:16" s="5" customFormat="1" ht="27.75" customHeight="1">
      <c r="A281" s="23" t="s">
        <v>81</v>
      </c>
      <c r="B281" s="41" t="s">
        <v>45</v>
      </c>
      <c r="C281" s="41">
        <v>1100</v>
      </c>
      <c r="D281" s="33">
        <f>D284+D282</f>
        <v>71600</v>
      </c>
      <c r="E281" s="33">
        <f>E283+E282</f>
        <v>202881.80000000002</v>
      </c>
      <c r="F281" s="33">
        <f>F284+F282</f>
        <v>131281.80000000002</v>
      </c>
      <c r="G281" s="33"/>
      <c r="H281" s="15">
        <f>H284</f>
        <v>27424.51</v>
      </c>
      <c r="I281" s="15">
        <f>I284</f>
        <v>27424.51</v>
      </c>
      <c r="J281" s="33">
        <f>J284</f>
        <v>20000</v>
      </c>
      <c r="K281" s="48"/>
      <c r="P281" s="57">
        <f t="shared" si="24"/>
        <v>202881.80000000002</v>
      </c>
    </row>
    <row r="282" spans="1:16" s="5" customFormat="1" ht="27.75" customHeight="1">
      <c r="A282" s="23"/>
      <c r="B282" s="83" t="s">
        <v>21</v>
      </c>
      <c r="C282" s="41"/>
      <c r="D282" s="33">
        <f>D289+D293</f>
        <v>68020</v>
      </c>
      <c r="E282" s="27">
        <f>E289+E293</f>
        <v>68020</v>
      </c>
      <c r="F282" s="33">
        <f>F289+F293</f>
        <v>0</v>
      </c>
      <c r="G282" s="33"/>
      <c r="H282" s="15"/>
      <c r="I282" s="15"/>
      <c r="J282" s="33"/>
      <c r="K282" s="48"/>
      <c r="P282" s="57">
        <f t="shared" si="24"/>
        <v>68020</v>
      </c>
    </row>
    <row r="283" spans="1:16" s="5" customFormat="1" ht="27.75" customHeight="1">
      <c r="A283" s="23"/>
      <c r="B283" s="82" t="s">
        <v>22</v>
      </c>
      <c r="C283" s="41"/>
      <c r="D283" s="33">
        <f>D290+D294+D299+D307+D328+D332+D336+D340+D344+D348+D352+D311+D315+D323+D303</f>
        <v>3580</v>
      </c>
      <c r="E283" s="33">
        <f>E290+E294+E299+E307+E328+E332+E336+E340+E344+E348+E352+E311+E315+E323+E303+E318</f>
        <v>134861.80000000002</v>
      </c>
      <c r="F283" s="33">
        <f>F290+F294+F299+F307+F328+F332+F336+F340+F344+F348+F352+F311+F315+F323+F303+F318</f>
        <v>131281.80000000002</v>
      </c>
      <c r="G283" s="33"/>
      <c r="H283" s="15">
        <f>H290+H294+H299+H307+H328+H332+H336+H340+H344+H348+H352+H311+H315+H323</f>
        <v>27424.51</v>
      </c>
      <c r="I283" s="15">
        <f>I290+I294+I299+I307+I328+I332+I336+I340+I344+I348+I352+I311+I315+I323</f>
        <v>27424.51</v>
      </c>
      <c r="J283" s="33">
        <f>J290+J294+J299+J307+J328+J332+J336+J340+J344+J348+J352+J311+J315+J323</f>
        <v>20000</v>
      </c>
      <c r="K283" s="48"/>
      <c r="P283" s="57">
        <f t="shared" si="24"/>
        <v>134861.80000000002</v>
      </c>
    </row>
    <row r="284" spans="1:16" s="5" customFormat="1" ht="40.5" customHeight="1">
      <c r="A284" s="23"/>
      <c r="B284" s="30" t="s">
        <v>46</v>
      </c>
      <c r="C284" s="41" t="s">
        <v>47</v>
      </c>
      <c r="D284" s="33">
        <f>D283</f>
        <v>3580</v>
      </c>
      <c r="E284" s="33">
        <f>E285</f>
        <v>202881.8</v>
      </c>
      <c r="F284" s="33">
        <f>F283</f>
        <v>131281.80000000002</v>
      </c>
      <c r="G284" s="33"/>
      <c r="H284" s="15">
        <f>H283</f>
        <v>27424.51</v>
      </c>
      <c r="I284" s="15">
        <f>I283</f>
        <v>27424.51</v>
      </c>
      <c r="J284" s="33">
        <f>J283</f>
        <v>20000</v>
      </c>
      <c r="K284" s="48"/>
      <c r="P284" s="57">
        <f t="shared" si="24"/>
        <v>134861.80000000002</v>
      </c>
    </row>
    <row r="285" spans="1:16" s="5" customFormat="1" ht="60.75" customHeight="1">
      <c r="A285" s="25"/>
      <c r="B285" s="42" t="s">
        <v>48</v>
      </c>
      <c r="C285" s="41" t="s">
        <v>47</v>
      </c>
      <c r="D285" s="22"/>
      <c r="E285" s="33">
        <f>E287+E291+E296+E300+E304+E308+E312+E316+E320+E325+E329</f>
        <v>202881.8</v>
      </c>
      <c r="F285" s="22"/>
      <c r="G285" s="43"/>
      <c r="H285" s="20"/>
      <c r="I285" s="20"/>
      <c r="J285" s="43"/>
      <c r="K285" s="59"/>
      <c r="P285" s="57">
        <f t="shared" si="24"/>
        <v>0</v>
      </c>
    </row>
    <row r="286" spans="1:16" s="5" customFormat="1" ht="27" customHeight="1">
      <c r="A286" s="25"/>
      <c r="B286" s="42" t="s">
        <v>142</v>
      </c>
      <c r="C286" s="41" t="s">
        <v>47</v>
      </c>
      <c r="D286" s="22"/>
      <c r="E286" s="33">
        <v>71600</v>
      </c>
      <c r="F286" s="22"/>
      <c r="G286" s="43"/>
      <c r="H286" s="20"/>
      <c r="I286" s="20"/>
      <c r="J286" s="43"/>
      <c r="K286" s="59"/>
      <c r="P286" s="57">
        <f t="shared" si="24"/>
        <v>0</v>
      </c>
    </row>
    <row r="287" spans="1:16" s="5" customFormat="1" ht="74.25" customHeight="1">
      <c r="A287" s="25" t="s">
        <v>179</v>
      </c>
      <c r="B287" s="28" t="s">
        <v>136</v>
      </c>
      <c r="C287" s="34">
        <v>1105</v>
      </c>
      <c r="D287" s="22">
        <f>SUM(D290)+D289</f>
        <v>38400</v>
      </c>
      <c r="E287" s="21">
        <f>SUM(E290)+E289</f>
        <v>38400</v>
      </c>
      <c r="F287" s="22">
        <f>SUM(F290)+F289</f>
        <v>0</v>
      </c>
      <c r="G287" s="85" t="s">
        <v>19</v>
      </c>
      <c r="H287" s="20">
        <f>SUM(H290)</f>
        <v>0</v>
      </c>
      <c r="I287" s="20">
        <f>SUM(I290)</f>
        <v>0</v>
      </c>
      <c r="J287" s="22">
        <f>SUM(J290)</f>
        <v>0</v>
      </c>
      <c r="K287" s="52"/>
      <c r="P287" s="57">
        <f t="shared" si="24"/>
        <v>38400</v>
      </c>
    </row>
    <row r="288" spans="1:16" s="5" customFormat="1" ht="27" customHeight="1">
      <c r="A288" s="25"/>
      <c r="B288" s="79" t="s">
        <v>20</v>
      </c>
      <c r="C288" s="34"/>
      <c r="D288" s="22"/>
      <c r="E288" s="21"/>
      <c r="F288" s="22"/>
      <c r="G288" s="21"/>
      <c r="H288" s="20"/>
      <c r="I288" s="20"/>
      <c r="J288" s="21"/>
      <c r="K288" s="51"/>
      <c r="P288" s="57">
        <f t="shared" si="24"/>
        <v>0</v>
      </c>
    </row>
    <row r="289" spans="1:16" s="5" customFormat="1" ht="29.25" customHeight="1">
      <c r="A289" s="25"/>
      <c r="B289" s="80" t="s">
        <v>21</v>
      </c>
      <c r="C289" s="34"/>
      <c r="D289" s="22">
        <v>36480</v>
      </c>
      <c r="E289" s="21">
        <f>D289+F289</f>
        <v>36480</v>
      </c>
      <c r="F289" s="22"/>
      <c r="G289" s="21"/>
      <c r="H289" s="20"/>
      <c r="I289" s="20"/>
      <c r="J289" s="21"/>
      <c r="K289" s="51"/>
      <c r="P289" s="57">
        <f t="shared" si="24"/>
        <v>36480</v>
      </c>
    </row>
    <row r="290" spans="1:16" s="5" customFormat="1" ht="29.25" customHeight="1">
      <c r="A290" s="25"/>
      <c r="B290" s="79" t="s">
        <v>22</v>
      </c>
      <c r="C290" s="34"/>
      <c r="D290" s="22">
        <v>1920</v>
      </c>
      <c r="E290" s="21">
        <f>D290+F290</f>
        <v>1920</v>
      </c>
      <c r="F290" s="22"/>
      <c r="G290" s="21"/>
      <c r="H290" s="20"/>
      <c r="I290" s="20"/>
      <c r="J290" s="21"/>
      <c r="K290" s="51"/>
      <c r="P290" s="57">
        <f t="shared" si="24"/>
        <v>1920</v>
      </c>
    </row>
    <row r="291" spans="1:16" s="5" customFormat="1" ht="55.5" customHeight="1">
      <c r="A291" s="25" t="s">
        <v>180</v>
      </c>
      <c r="B291" s="31" t="s">
        <v>50</v>
      </c>
      <c r="C291" s="34">
        <v>1105</v>
      </c>
      <c r="D291" s="22">
        <f>D293+D294</f>
        <v>33200</v>
      </c>
      <c r="E291" s="21">
        <f>E293+E294</f>
        <v>33200</v>
      </c>
      <c r="F291" s="22">
        <f>F293+F294</f>
        <v>0</v>
      </c>
      <c r="G291" s="85" t="s">
        <v>19</v>
      </c>
      <c r="H291" s="20">
        <f>H293+H294</f>
        <v>0</v>
      </c>
      <c r="I291" s="20">
        <f>I293+I294</f>
        <v>0</v>
      </c>
      <c r="J291" s="21">
        <f>J293+J294</f>
        <v>0</v>
      </c>
      <c r="K291" s="51"/>
      <c r="P291" s="57">
        <f t="shared" si="24"/>
        <v>33200</v>
      </c>
    </row>
    <row r="292" spans="1:16" s="5" customFormat="1" ht="27" customHeight="1">
      <c r="A292" s="25"/>
      <c r="B292" s="79" t="s">
        <v>20</v>
      </c>
      <c r="C292" s="34"/>
      <c r="D292" s="22"/>
      <c r="E292" s="21"/>
      <c r="F292" s="22"/>
      <c r="G292" s="21"/>
      <c r="H292" s="20"/>
      <c r="I292" s="20"/>
      <c r="J292" s="21"/>
      <c r="K292" s="51"/>
      <c r="P292" s="57">
        <f t="shared" si="24"/>
        <v>0</v>
      </c>
    </row>
    <row r="293" spans="1:16" s="5" customFormat="1" ht="29.25" customHeight="1">
      <c r="A293" s="25"/>
      <c r="B293" s="80" t="s">
        <v>21</v>
      </c>
      <c r="C293" s="34"/>
      <c r="D293" s="22">
        <v>31540</v>
      </c>
      <c r="E293" s="21">
        <f>D293+F293</f>
        <v>31540</v>
      </c>
      <c r="F293" s="22"/>
      <c r="G293" s="21"/>
      <c r="H293" s="20"/>
      <c r="I293" s="20"/>
      <c r="J293" s="21"/>
      <c r="K293" s="51"/>
      <c r="P293" s="57">
        <f t="shared" si="24"/>
        <v>31540</v>
      </c>
    </row>
    <row r="294" spans="1:16" s="5" customFormat="1" ht="29.25" customHeight="1">
      <c r="A294" s="25"/>
      <c r="B294" s="79" t="s">
        <v>22</v>
      </c>
      <c r="C294" s="34"/>
      <c r="D294" s="22">
        <v>1660</v>
      </c>
      <c r="E294" s="21">
        <f>D294+F294</f>
        <v>1660</v>
      </c>
      <c r="F294" s="22"/>
      <c r="G294" s="21"/>
      <c r="H294" s="20"/>
      <c r="I294" s="20"/>
      <c r="J294" s="21"/>
      <c r="K294" s="51"/>
      <c r="P294" s="57">
        <f t="shared" si="24"/>
        <v>1660</v>
      </c>
    </row>
    <row r="295" spans="1:16" s="5" customFormat="1" ht="87" customHeight="1">
      <c r="A295" s="25"/>
      <c r="B295" s="42" t="s">
        <v>212</v>
      </c>
      <c r="C295" s="34"/>
      <c r="D295" s="33">
        <f>D299+D303+D307+D311+D315</f>
        <v>0</v>
      </c>
      <c r="E295" s="33">
        <f>E299+E303+E307+E311+E315+E318+E323</f>
        <v>99397.50000000001</v>
      </c>
      <c r="F295" s="33">
        <f>F299+F303+F307+F311+F315+F318+F323</f>
        <v>99397.50000000001</v>
      </c>
      <c r="G295" s="21"/>
      <c r="H295" s="20"/>
      <c r="I295" s="20"/>
      <c r="J295" s="21"/>
      <c r="K295" s="51"/>
      <c r="P295" s="57">
        <f t="shared" si="24"/>
        <v>99397.50000000001</v>
      </c>
    </row>
    <row r="296" spans="1:16" s="5" customFormat="1" ht="74.25" customHeight="1">
      <c r="A296" s="25" t="s">
        <v>181</v>
      </c>
      <c r="B296" s="28" t="s">
        <v>136</v>
      </c>
      <c r="C296" s="34" t="s">
        <v>47</v>
      </c>
      <c r="D296" s="22">
        <f>SUM(D299)</f>
        <v>0</v>
      </c>
      <c r="E296" s="22">
        <f>SUM(E299)</f>
        <v>24909.7</v>
      </c>
      <c r="F296" s="22">
        <f>SUM(F299)</f>
        <v>24909.7</v>
      </c>
      <c r="G296" s="85" t="s">
        <v>19</v>
      </c>
      <c r="H296" s="20">
        <f>SUM(H299)</f>
        <v>0</v>
      </c>
      <c r="I296" s="20">
        <f>SUM(I299)</f>
        <v>0</v>
      </c>
      <c r="J296" s="22">
        <f>SUM(J299)</f>
        <v>0</v>
      </c>
      <c r="K296" s="52"/>
      <c r="P296" s="57">
        <f t="shared" si="24"/>
        <v>24909.7</v>
      </c>
    </row>
    <row r="297" spans="1:16" s="5" customFormat="1" ht="27" customHeight="1">
      <c r="A297" s="25"/>
      <c r="B297" s="79" t="s">
        <v>20</v>
      </c>
      <c r="C297" s="34"/>
      <c r="D297" s="22"/>
      <c r="E297" s="22"/>
      <c r="F297" s="22"/>
      <c r="G297" s="43"/>
      <c r="H297" s="20"/>
      <c r="I297" s="20"/>
      <c r="J297" s="43"/>
      <c r="K297" s="59"/>
      <c r="P297" s="57">
        <f t="shared" si="24"/>
        <v>0</v>
      </c>
    </row>
    <row r="298" spans="1:16" s="5" customFormat="1" ht="29.25" customHeight="1" hidden="1">
      <c r="A298" s="25"/>
      <c r="B298" s="80" t="s">
        <v>21</v>
      </c>
      <c r="C298" s="34"/>
      <c r="D298" s="22"/>
      <c r="E298" s="22">
        <f>D298+F298</f>
        <v>0</v>
      </c>
      <c r="F298" s="22"/>
      <c r="G298" s="43"/>
      <c r="H298" s="20"/>
      <c r="I298" s="20"/>
      <c r="J298" s="43"/>
      <c r="K298" s="59"/>
      <c r="P298" s="57">
        <f t="shared" si="24"/>
        <v>0</v>
      </c>
    </row>
    <row r="299" spans="1:16" s="5" customFormat="1" ht="29.25" customHeight="1">
      <c r="A299" s="25"/>
      <c r="B299" s="79" t="s">
        <v>22</v>
      </c>
      <c r="C299" s="34"/>
      <c r="D299" s="22"/>
      <c r="E299" s="22">
        <f>D299+F299</f>
        <v>24909.7</v>
      </c>
      <c r="F299" s="22">
        <f>23825+1084.7</f>
        <v>24909.7</v>
      </c>
      <c r="G299" s="21"/>
      <c r="H299" s="20"/>
      <c r="I299" s="20"/>
      <c r="J299" s="21"/>
      <c r="K299" s="51"/>
      <c r="P299" s="57">
        <f t="shared" si="24"/>
        <v>24909.7</v>
      </c>
    </row>
    <row r="300" spans="1:16" s="5" customFormat="1" ht="68.25" customHeight="1">
      <c r="A300" s="25" t="s">
        <v>182</v>
      </c>
      <c r="B300" s="31" t="s">
        <v>135</v>
      </c>
      <c r="C300" s="34">
        <v>1105</v>
      </c>
      <c r="D300" s="22">
        <f>D302+D303</f>
        <v>0</v>
      </c>
      <c r="E300" s="22">
        <f>E302+E303</f>
        <v>22832.4</v>
      </c>
      <c r="F300" s="22">
        <f>F302+F303</f>
        <v>22832.4</v>
      </c>
      <c r="G300" s="85" t="s">
        <v>19</v>
      </c>
      <c r="H300" s="20"/>
      <c r="I300" s="20"/>
      <c r="J300" s="21"/>
      <c r="K300" s="51"/>
      <c r="P300" s="57">
        <f t="shared" si="24"/>
        <v>22832.4</v>
      </c>
    </row>
    <row r="301" spans="1:16" s="5" customFormat="1" ht="23.25" customHeight="1">
      <c r="A301" s="25"/>
      <c r="B301" s="79" t="s">
        <v>20</v>
      </c>
      <c r="C301" s="34"/>
      <c r="D301" s="22"/>
      <c r="E301" s="22"/>
      <c r="F301" s="22"/>
      <c r="G301" s="21"/>
      <c r="H301" s="20"/>
      <c r="I301" s="20"/>
      <c r="J301" s="21"/>
      <c r="K301" s="51"/>
      <c r="P301" s="57">
        <f t="shared" si="24"/>
        <v>0</v>
      </c>
    </row>
    <row r="302" spans="1:16" s="5" customFormat="1" ht="29.25" customHeight="1" hidden="1">
      <c r="A302" s="25"/>
      <c r="B302" s="80" t="s">
        <v>21</v>
      </c>
      <c r="C302" s="34"/>
      <c r="D302" s="22"/>
      <c r="E302" s="22">
        <f>D302+F302</f>
        <v>0</v>
      </c>
      <c r="F302" s="22"/>
      <c r="G302" s="21"/>
      <c r="H302" s="20"/>
      <c r="I302" s="20"/>
      <c r="J302" s="21"/>
      <c r="K302" s="51"/>
      <c r="P302" s="57">
        <f t="shared" si="24"/>
        <v>0</v>
      </c>
    </row>
    <row r="303" spans="1:16" s="5" customFormat="1" ht="22.5" customHeight="1">
      <c r="A303" s="25"/>
      <c r="B303" s="79" t="s">
        <v>22</v>
      </c>
      <c r="C303" s="34"/>
      <c r="D303" s="22"/>
      <c r="E303" s="22">
        <f>D303+F303</f>
        <v>22832.4</v>
      </c>
      <c r="F303" s="22">
        <f>7160.4+15672</f>
        <v>22832.4</v>
      </c>
      <c r="G303" s="21"/>
      <c r="H303" s="20"/>
      <c r="I303" s="20"/>
      <c r="J303" s="21"/>
      <c r="K303" s="51"/>
      <c r="P303" s="57">
        <f t="shared" si="24"/>
        <v>22832.4</v>
      </c>
    </row>
    <row r="304" spans="1:16" s="5" customFormat="1" ht="57" customHeight="1">
      <c r="A304" s="25" t="s">
        <v>183</v>
      </c>
      <c r="B304" s="28" t="s">
        <v>99</v>
      </c>
      <c r="C304" s="34" t="s">
        <v>47</v>
      </c>
      <c r="D304" s="22">
        <f>SUM(D307)</f>
        <v>0</v>
      </c>
      <c r="E304" s="22">
        <f>SUM(E307)</f>
        <v>6604.2</v>
      </c>
      <c r="F304" s="22">
        <f>SUM(F307)</f>
        <v>6604.2</v>
      </c>
      <c r="G304" s="85" t="s">
        <v>19</v>
      </c>
      <c r="H304" s="20">
        <f>SUM(H307)</f>
        <v>0</v>
      </c>
      <c r="I304" s="20">
        <f>SUM(I307)</f>
        <v>0</v>
      </c>
      <c r="J304" s="22">
        <f>SUM(J307)</f>
        <v>0</v>
      </c>
      <c r="K304" s="52"/>
      <c r="P304" s="57">
        <f t="shared" si="24"/>
        <v>6604.2</v>
      </c>
    </row>
    <row r="305" spans="1:16" s="5" customFormat="1" ht="20.25" customHeight="1">
      <c r="A305" s="25"/>
      <c r="B305" s="79" t="s">
        <v>20</v>
      </c>
      <c r="C305" s="34"/>
      <c r="D305" s="22"/>
      <c r="E305" s="22"/>
      <c r="F305" s="22"/>
      <c r="G305" s="21"/>
      <c r="H305" s="50"/>
      <c r="I305" s="50"/>
      <c r="J305" s="51"/>
      <c r="K305" s="51"/>
      <c r="P305" s="57">
        <f t="shared" si="24"/>
        <v>0</v>
      </c>
    </row>
    <row r="306" spans="1:16" s="5" customFormat="1" ht="29.25" customHeight="1" hidden="1">
      <c r="A306" s="25"/>
      <c r="B306" s="80" t="s">
        <v>21</v>
      </c>
      <c r="C306" s="34"/>
      <c r="D306" s="22"/>
      <c r="E306" s="22">
        <f>D306+F306</f>
        <v>0</v>
      </c>
      <c r="F306" s="22"/>
      <c r="G306" s="21"/>
      <c r="H306" s="50"/>
      <c r="I306" s="50"/>
      <c r="J306" s="51"/>
      <c r="K306" s="51"/>
      <c r="P306" s="57">
        <f t="shared" si="24"/>
        <v>0</v>
      </c>
    </row>
    <row r="307" spans="1:16" s="5" customFormat="1" ht="23.25" customHeight="1">
      <c r="A307" s="25"/>
      <c r="B307" s="79" t="s">
        <v>22</v>
      </c>
      <c r="C307" s="34"/>
      <c r="D307" s="22"/>
      <c r="E307" s="22">
        <f>D307+F307</f>
        <v>6604.2</v>
      </c>
      <c r="F307" s="22">
        <v>6604.2</v>
      </c>
      <c r="G307" s="21"/>
      <c r="H307" s="50"/>
      <c r="I307" s="50"/>
      <c r="J307" s="51"/>
      <c r="K307" s="51"/>
      <c r="P307" s="57">
        <f t="shared" si="24"/>
        <v>6604.2</v>
      </c>
    </row>
    <row r="308" spans="1:16" s="5" customFormat="1" ht="51" customHeight="1">
      <c r="A308" s="25" t="s">
        <v>184</v>
      </c>
      <c r="B308" s="31" t="s">
        <v>72</v>
      </c>
      <c r="C308" s="34" t="s">
        <v>47</v>
      </c>
      <c r="D308" s="22">
        <f>SUM(D311)</f>
        <v>0</v>
      </c>
      <c r="E308" s="22">
        <f>SUM(E311)</f>
        <v>6862.3</v>
      </c>
      <c r="F308" s="22">
        <f>SUM(F311)</f>
        <v>6862.3</v>
      </c>
      <c r="G308" s="29" t="s">
        <v>19</v>
      </c>
      <c r="H308" s="50">
        <f>SUM(H311)</f>
        <v>0</v>
      </c>
      <c r="I308" s="50">
        <f>SUM(I311)</f>
        <v>0</v>
      </c>
      <c r="J308" s="52">
        <f>SUM(J311)</f>
        <v>0</v>
      </c>
      <c r="K308" s="52"/>
      <c r="P308" s="57">
        <f t="shared" si="24"/>
        <v>6862.3</v>
      </c>
    </row>
    <row r="309" spans="1:16" s="5" customFormat="1" ht="21" customHeight="1">
      <c r="A309" s="25"/>
      <c r="B309" s="79" t="s">
        <v>20</v>
      </c>
      <c r="C309" s="34"/>
      <c r="D309" s="22"/>
      <c r="E309" s="22"/>
      <c r="F309" s="22"/>
      <c r="G309" s="43"/>
      <c r="H309" s="50"/>
      <c r="I309" s="50"/>
      <c r="J309" s="59"/>
      <c r="K309" s="59"/>
      <c r="P309" s="57">
        <f t="shared" si="24"/>
        <v>0</v>
      </c>
    </row>
    <row r="310" spans="1:16" s="5" customFormat="1" ht="29.25" customHeight="1" hidden="1">
      <c r="A310" s="25"/>
      <c r="B310" s="80" t="s">
        <v>21</v>
      </c>
      <c r="C310" s="34"/>
      <c r="D310" s="22"/>
      <c r="E310" s="22">
        <f>D310+F310</f>
        <v>0</v>
      </c>
      <c r="F310" s="22"/>
      <c r="G310" s="43"/>
      <c r="H310" s="50"/>
      <c r="I310" s="50"/>
      <c r="J310" s="59"/>
      <c r="K310" s="59"/>
      <c r="P310" s="57">
        <f t="shared" si="24"/>
        <v>0</v>
      </c>
    </row>
    <row r="311" spans="1:16" s="5" customFormat="1" ht="22.5" customHeight="1">
      <c r="A311" s="25"/>
      <c r="B311" s="79" t="s">
        <v>22</v>
      </c>
      <c r="C311" s="34"/>
      <c r="D311" s="22"/>
      <c r="E311" s="22">
        <f>D311+F311</f>
        <v>6862.3</v>
      </c>
      <c r="F311" s="22">
        <v>6862.3</v>
      </c>
      <c r="G311" s="22"/>
      <c r="H311" s="50"/>
      <c r="I311" s="50"/>
      <c r="J311" s="52"/>
      <c r="K311" s="52"/>
      <c r="P311" s="57">
        <f t="shared" si="24"/>
        <v>6862.3</v>
      </c>
    </row>
    <row r="312" spans="1:16" s="5" customFormat="1" ht="71.25" customHeight="1">
      <c r="A312" s="25" t="s">
        <v>185</v>
      </c>
      <c r="B312" s="31" t="s">
        <v>71</v>
      </c>
      <c r="C312" s="34" t="s">
        <v>47</v>
      </c>
      <c r="D312" s="22">
        <f>SUM(D315)</f>
        <v>0</v>
      </c>
      <c r="E312" s="22">
        <f>SUM(E315)</f>
        <v>24974.699999999997</v>
      </c>
      <c r="F312" s="22">
        <f>SUM(F315)</f>
        <v>24974.699999999997</v>
      </c>
      <c r="G312" s="29" t="s">
        <v>19</v>
      </c>
      <c r="H312" s="50">
        <f>SUM(H315)</f>
        <v>27424.51</v>
      </c>
      <c r="I312" s="50">
        <f>SUM(I315)</f>
        <v>27424.51</v>
      </c>
      <c r="J312" s="52">
        <f>SUM(J315)</f>
        <v>20000</v>
      </c>
      <c r="K312" s="52"/>
      <c r="P312" s="57">
        <f t="shared" si="24"/>
        <v>24974.699999999997</v>
      </c>
    </row>
    <row r="313" spans="1:16" s="5" customFormat="1" ht="19.5" customHeight="1">
      <c r="A313" s="25"/>
      <c r="B313" s="79" t="s">
        <v>20</v>
      </c>
      <c r="C313" s="34"/>
      <c r="D313" s="22"/>
      <c r="E313" s="22"/>
      <c r="F313" s="22"/>
      <c r="G313" s="22"/>
      <c r="H313" s="50"/>
      <c r="I313" s="50"/>
      <c r="J313" s="52"/>
      <c r="K313" s="52"/>
      <c r="P313" s="57">
        <f t="shared" si="24"/>
        <v>0</v>
      </c>
    </row>
    <row r="314" spans="1:16" s="5" customFormat="1" ht="29.25" customHeight="1" hidden="1">
      <c r="A314" s="25"/>
      <c r="B314" s="80" t="s">
        <v>21</v>
      </c>
      <c r="C314" s="34"/>
      <c r="D314" s="22"/>
      <c r="E314" s="22">
        <f>D314+F314</f>
        <v>0</v>
      </c>
      <c r="F314" s="22"/>
      <c r="G314" s="22"/>
      <c r="H314" s="50"/>
      <c r="I314" s="50"/>
      <c r="J314" s="52"/>
      <c r="K314" s="52"/>
      <c r="P314" s="57">
        <f aca="true" t="shared" si="27" ref="P314:P332">F314+D314</f>
        <v>0</v>
      </c>
    </row>
    <row r="315" spans="1:16" s="5" customFormat="1" ht="25.5" customHeight="1">
      <c r="A315" s="25"/>
      <c r="B315" s="79" t="s">
        <v>22</v>
      </c>
      <c r="C315" s="34"/>
      <c r="D315" s="22"/>
      <c r="E315" s="22">
        <f>D315+F315</f>
        <v>24974.699999999997</v>
      </c>
      <c r="F315" s="22">
        <f>23585.6+1389.1</f>
        <v>24974.699999999997</v>
      </c>
      <c r="G315" s="22"/>
      <c r="H315" s="50">
        <v>27424.51</v>
      </c>
      <c r="I315" s="50">
        <v>27424.51</v>
      </c>
      <c r="J315" s="52">
        <v>20000</v>
      </c>
      <c r="K315" s="52"/>
      <c r="P315" s="57">
        <f t="shared" si="27"/>
        <v>24974.699999999997</v>
      </c>
    </row>
    <row r="316" spans="1:16" s="5" customFormat="1" ht="72.75" customHeight="1">
      <c r="A316" s="25" t="s">
        <v>186</v>
      </c>
      <c r="B316" s="31" t="s">
        <v>191</v>
      </c>
      <c r="C316" s="34"/>
      <c r="D316" s="22"/>
      <c r="E316" s="22">
        <f>E318</f>
        <v>6607.1</v>
      </c>
      <c r="F316" s="22">
        <f>F318</f>
        <v>6607.1</v>
      </c>
      <c r="G316" s="29" t="s">
        <v>19</v>
      </c>
      <c r="H316" s="50"/>
      <c r="I316" s="50"/>
      <c r="J316" s="52"/>
      <c r="K316" s="52"/>
      <c r="P316" s="57"/>
    </row>
    <row r="317" spans="1:16" s="5" customFormat="1" ht="29.25" customHeight="1">
      <c r="A317" s="25"/>
      <c r="B317" s="79" t="s">
        <v>20</v>
      </c>
      <c r="C317" s="34"/>
      <c r="D317" s="22"/>
      <c r="E317" s="22"/>
      <c r="F317" s="22"/>
      <c r="G317" s="22"/>
      <c r="H317" s="50"/>
      <c r="I317" s="50"/>
      <c r="J317" s="52"/>
      <c r="K317" s="52"/>
      <c r="P317" s="57"/>
    </row>
    <row r="318" spans="1:16" s="5" customFormat="1" ht="29.25" customHeight="1">
      <c r="A318" s="25"/>
      <c r="B318" s="79" t="s">
        <v>22</v>
      </c>
      <c r="C318" s="34"/>
      <c r="D318" s="22"/>
      <c r="E318" s="22">
        <f>D318+F318</f>
        <v>6607.1</v>
      </c>
      <c r="F318" s="22">
        <v>6607.1</v>
      </c>
      <c r="G318" s="22"/>
      <c r="H318" s="50"/>
      <c r="I318" s="50"/>
      <c r="J318" s="52"/>
      <c r="K318" s="52"/>
      <c r="P318" s="57"/>
    </row>
    <row r="319" spans="1:16" s="5" customFormat="1" ht="29.25" customHeight="1" hidden="1">
      <c r="A319" s="25"/>
      <c r="B319" s="79"/>
      <c r="C319" s="34"/>
      <c r="D319" s="22"/>
      <c r="E319" s="22"/>
      <c r="F319" s="22"/>
      <c r="G319" s="22"/>
      <c r="H319" s="50"/>
      <c r="I319" s="50"/>
      <c r="J319" s="52"/>
      <c r="K319" s="52"/>
      <c r="P319" s="57"/>
    </row>
    <row r="320" spans="1:16" s="103" customFormat="1" ht="68.25" customHeight="1">
      <c r="A320" s="25" t="s">
        <v>187</v>
      </c>
      <c r="B320" s="31" t="s">
        <v>195</v>
      </c>
      <c r="C320" s="34" t="s">
        <v>47</v>
      </c>
      <c r="D320" s="22">
        <f>SUM(D323)</f>
        <v>0</v>
      </c>
      <c r="E320" s="22">
        <f>SUM(E323)</f>
        <v>6607.1</v>
      </c>
      <c r="F320" s="22">
        <f>SUM(F323)</f>
        <v>6607.1</v>
      </c>
      <c r="G320" s="29" t="s">
        <v>19</v>
      </c>
      <c r="H320" s="20">
        <f>SUM(H323)</f>
        <v>0</v>
      </c>
      <c r="I320" s="20">
        <f>SUM(I323)</f>
        <v>0</v>
      </c>
      <c r="J320" s="22">
        <f>SUM(J323)</f>
        <v>0</v>
      </c>
      <c r="K320" s="22"/>
      <c r="P320" s="101">
        <f t="shared" si="27"/>
        <v>6607.1</v>
      </c>
    </row>
    <row r="321" spans="1:16" s="103" customFormat="1" ht="20.25" customHeight="1">
      <c r="A321" s="25"/>
      <c r="B321" s="79" t="s">
        <v>20</v>
      </c>
      <c r="C321" s="34"/>
      <c r="D321" s="22"/>
      <c r="E321" s="22"/>
      <c r="F321" s="22"/>
      <c r="G321" s="21"/>
      <c r="H321" s="20"/>
      <c r="I321" s="20"/>
      <c r="J321" s="21"/>
      <c r="K321" s="21"/>
      <c r="P321" s="101">
        <f t="shared" si="27"/>
        <v>0</v>
      </c>
    </row>
    <row r="322" spans="1:16" s="103" customFormat="1" ht="29.25" customHeight="1" hidden="1">
      <c r="A322" s="25"/>
      <c r="B322" s="80" t="s">
        <v>21</v>
      </c>
      <c r="C322" s="34"/>
      <c r="D322" s="22"/>
      <c r="E322" s="22">
        <f>D322+F322</f>
        <v>0</v>
      </c>
      <c r="F322" s="22"/>
      <c r="G322" s="21"/>
      <c r="H322" s="20"/>
      <c r="I322" s="20"/>
      <c r="J322" s="21"/>
      <c r="K322" s="21"/>
      <c r="P322" s="101">
        <f t="shared" si="27"/>
        <v>0</v>
      </c>
    </row>
    <row r="323" spans="1:16" s="103" customFormat="1" ht="22.5" customHeight="1">
      <c r="A323" s="25"/>
      <c r="B323" s="79" t="s">
        <v>22</v>
      </c>
      <c r="C323" s="34"/>
      <c r="D323" s="22"/>
      <c r="E323" s="22">
        <f>D323+F323</f>
        <v>6607.1</v>
      </c>
      <c r="F323" s="22">
        <v>6607.1</v>
      </c>
      <c r="G323" s="21"/>
      <c r="H323" s="20"/>
      <c r="I323" s="20"/>
      <c r="J323" s="21"/>
      <c r="K323" s="21"/>
      <c r="P323" s="101">
        <f t="shared" si="27"/>
        <v>6607.1</v>
      </c>
    </row>
    <row r="324" spans="1:16" s="5" customFormat="1" ht="31.5" customHeight="1">
      <c r="A324" s="25"/>
      <c r="B324" s="42" t="s">
        <v>139</v>
      </c>
      <c r="C324" s="41"/>
      <c r="D324" s="33">
        <f>D328+D332</f>
        <v>0</v>
      </c>
      <c r="E324" s="33">
        <f>E328+E332</f>
        <v>31884.3</v>
      </c>
      <c r="F324" s="33">
        <f>F328+F332</f>
        <v>31884.3</v>
      </c>
      <c r="G324" s="21"/>
      <c r="H324" s="50"/>
      <c r="I324" s="50"/>
      <c r="J324" s="51"/>
      <c r="K324" s="51"/>
      <c r="P324" s="57">
        <f t="shared" si="27"/>
        <v>31884.3</v>
      </c>
    </row>
    <row r="325" spans="1:16" s="5" customFormat="1" ht="53.25" customHeight="1">
      <c r="A325" s="25" t="s">
        <v>188</v>
      </c>
      <c r="B325" s="31" t="s">
        <v>137</v>
      </c>
      <c r="C325" s="34" t="s">
        <v>47</v>
      </c>
      <c r="D325" s="22">
        <f>SUM(D328)</f>
        <v>0</v>
      </c>
      <c r="E325" s="22">
        <f>SUM(E328)</f>
        <v>21354.3</v>
      </c>
      <c r="F325" s="22">
        <f>SUM(F328)</f>
        <v>21354.3</v>
      </c>
      <c r="G325" s="29" t="s">
        <v>19</v>
      </c>
      <c r="H325" s="50">
        <f>SUM(H328)</f>
        <v>0</v>
      </c>
      <c r="I325" s="50">
        <f>SUM(I328)</f>
        <v>0</v>
      </c>
      <c r="J325" s="52">
        <f>SUM(J328)</f>
        <v>0</v>
      </c>
      <c r="K325" s="52"/>
      <c r="P325" s="57">
        <f t="shared" si="27"/>
        <v>21354.3</v>
      </c>
    </row>
    <row r="326" spans="1:16" s="5" customFormat="1" ht="18.75">
      <c r="A326" s="25"/>
      <c r="B326" s="79" t="s">
        <v>20</v>
      </c>
      <c r="C326" s="34"/>
      <c r="D326" s="22"/>
      <c r="E326" s="22"/>
      <c r="F326" s="22"/>
      <c r="G326" s="22"/>
      <c r="H326" s="50"/>
      <c r="I326" s="50"/>
      <c r="J326" s="52"/>
      <c r="K326" s="52"/>
      <c r="P326" s="57">
        <f t="shared" si="27"/>
        <v>0</v>
      </c>
    </row>
    <row r="327" spans="1:16" s="5" customFormat="1" ht="18.75" hidden="1">
      <c r="A327" s="25"/>
      <c r="B327" s="80" t="s">
        <v>21</v>
      </c>
      <c r="C327" s="34"/>
      <c r="D327" s="22"/>
      <c r="E327" s="22">
        <f>D327+F327</f>
        <v>0</v>
      </c>
      <c r="F327" s="22"/>
      <c r="G327" s="22"/>
      <c r="H327" s="50"/>
      <c r="I327" s="50"/>
      <c r="J327" s="52"/>
      <c r="K327" s="52"/>
      <c r="P327" s="57">
        <f t="shared" si="27"/>
        <v>0</v>
      </c>
    </row>
    <row r="328" spans="1:16" s="5" customFormat="1" ht="22.5" customHeight="1">
      <c r="A328" s="25"/>
      <c r="B328" s="79" t="s">
        <v>22</v>
      </c>
      <c r="C328" s="34"/>
      <c r="D328" s="22"/>
      <c r="E328" s="22">
        <f>D328+F328</f>
        <v>21354.3</v>
      </c>
      <c r="F328" s="22">
        <f>20966.1+388.2</f>
        <v>21354.3</v>
      </c>
      <c r="G328" s="22"/>
      <c r="H328" s="50"/>
      <c r="I328" s="50"/>
      <c r="J328" s="52"/>
      <c r="K328" s="52"/>
      <c r="P328" s="57">
        <f t="shared" si="27"/>
        <v>21354.3</v>
      </c>
    </row>
    <row r="329" spans="1:16" s="5" customFormat="1" ht="66.75" customHeight="1">
      <c r="A329" s="25" t="s">
        <v>189</v>
      </c>
      <c r="B329" s="31" t="s">
        <v>138</v>
      </c>
      <c r="C329" s="34" t="s">
        <v>47</v>
      </c>
      <c r="D329" s="22">
        <f>SUM(D332)</f>
        <v>0</v>
      </c>
      <c r="E329" s="21">
        <f>SUM(E332)</f>
        <v>10530</v>
      </c>
      <c r="F329" s="22">
        <f>SUM(F332)</f>
        <v>10530</v>
      </c>
      <c r="G329" s="29" t="s">
        <v>19</v>
      </c>
      <c r="H329" s="50">
        <f>SUM(H332)</f>
        <v>0</v>
      </c>
      <c r="I329" s="50">
        <f>SUM(I332)</f>
        <v>0</v>
      </c>
      <c r="J329" s="52">
        <f>SUM(J332)</f>
        <v>0</v>
      </c>
      <c r="K329" s="52"/>
      <c r="P329" s="57">
        <f t="shared" si="27"/>
        <v>10530</v>
      </c>
    </row>
    <row r="330" spans="1:16" s="5" customFormat="1" ht="18.75">
      <c r="A330" s="25"/>
      <c r="B330" s="79" t="s">
        <v>20</v>
      </c>
      <c r="C330" s="34"/>
      <c r="D330" s="22"/>
      <c r="E330" s="21"/>
      <c r="F330" s="22"/>
      <c r="G330" s="43"/>
      <c r="H330" s="50"/>
      <c r="I330" s="50"/>
      <c r="J330" s="59"/>
      <c r="K330" s="59"/>
      <c r="P330" s="57">
        <f t="shared" si="27"/>
        <v>0</v>
      </c>
    </row>
    <row r="331" spans="1:16" s="5" customFormat="1" ht="18.75" hidden="1">
      <c r="A331" s="25"/>
      <c r="B331" s="80" t="s">
        <v>21</v>
      </c>
      <c r="C331" s="34"/>
      <c r="D331" s="22"/>
      <c r="E331" s="21">
        <f>D331+F331</f>
        <v>0</v>
      </c>
      <c r="F331" s="22"/>
      <c r="G331" s="43"/>
      <c r="H331" s="50"/>
      <c r="I331" s="50"/>
      <c r="J331" s="59"/>
      <c r="K331" s="59"/>
      <c r="P331" s="57">
        <f t="shared" si="27"/>
        <v>0</v>
      </c>
    </row>
    <row r="332" spans="1:16" s="5" customFormat="1" ht="22.5" customHeight="1">
      <c r="A332" s="25"/>
      <c r="B332" s="79" t="s">
        <v>22</v>
      </c>
      <c r="C332" s="34"/>
      <c r="D332" s="22"/>
      <c r="E332" s="21">
        <f>D332+F332</f>
        <v>10530</v>
      </c>
      <c r="F332" s="22">
        <v>10530</v>
      </c>
      <c r="G332" s="22"/>
      <c r="H332" s="50"/>
      <c r="I332" s="50"/>
      <c r="J332" s="52"/>
      <c r="K332" s="52"/>
      <c r="P332" s="57">
        <f t="shared" si="27"/>
        <v>10530</v>
      </c>
    </row>
    <row r="333" spans="1:11" s="5" customFormat="1" ht="63" customHeight="1" hidden="1">
      <c r="A333" s="49" t="s">
        <v>87</v>
      </c>
      <c r="B333" s="61" t="s">
        <v>57</v>
      </c>
      <c r="C333" s="58" t="s">
        <v>47</v>
      </c>
      <c r="D333" s="52">
        <f>SUM(D336)</f>
        <v>0</v>
      </c>
      <c r="E333" s="52">
        <f>SUM(E336)</f>
        <v>0</v>
      </c>
      <c r="F333" s="52">
        <f>SUM(F336)</f>
        <v>0</v>
      </c>
      <c r="G333" s="52"/>
      <c r="H333" s="50">
        <f>SUM(H336)</f>
        <v>0</v>
      </c>
      <c r="I333" s="50">
        <f>SUM(I336)</f>
        <v>0</v>
      </c>
      <c r="J333" s="52">
        <f>SUM(J336)</f>
        <v>0</v>
      </c>
      <c r="K333" s="52"/>
    </row>
    <row r="334" spans="1:11" s="5" customFormat="1" ht="27" customHeight="1" hidden="1">
      <c r="A334" s="49"/>
      <c r="B334" s="55" t="s">
        <v>20</v>
      </c>
      <c r="C334" s="58"/>
      <c r="D334" s="52"/>
      <c r="E334" s="52"/>
      <c r="F334" s="52"/>
      <c r="G334" s="52"/>
      <c r="H334" s="50"/>
      <c r="I334" s="50"/>
      <c r="J334" s="52"/>
      <c r="K334" s="52"/>
    </row>
    <row r="335" spans="1:11" s="5" customFormat="1" ht="29.25" customHeight="1" hidden="1">
      <c r="A335" s="49"/>
      <c r="B335" s="56" t="s">
        <v>21</v>
      </c>
      <c r="C335" s="58"/>
      <c r="D335" s="52"/>
      <c r="E335" s="22">
        <f>D335+F335</f>
        <v>0</v>
      </c>
      <c r="F335" s="22"/>
      <c r="G335" s="52"/>
      <c r="H335" s="50"/>
      <c r="I335" s="50"/>
      <c r="J335" s="52"/>
      <c r="K335" s="52"/>
    </row>
    <row r="336" spans="1:11" s="5" customFormat="1" ht="29.25" customHeight="1" hidden="1">
      <c r="A336" s="49"/>
      <c r="B336" s="55" t="s">
        <v>22</v>
      </c>
      <c r="C336" s="58"/>
      <c r="D336" s="52"/>
      <c r="E336" s="22">
        <f>D336+F336</f>
        <v>0</v>
      </c>
      <c r="F336" s="22"/>
      <c r="G336" s="52"/>
      <c r="H336" s="50"/>
      <c r="I336" s="50"/>
      <c r="J336" s="52"/>
      <c r="K336" s="52"/>
    </row>
    <row r="337" spans="1:11" s="5" customFormat="1" ht="80.25" customHeight="1" hidden="1">
      <c r="A337" s="49" t="s">
        <v>88</v>
      </c>
      <c r="B337" s="62" t="s">
        <v>58</v>
      </c>
      <c r="C337" s="58" t="s">
        <v>47</v>
      </c>
      <c r="D337" s="52">
        <f>SUM(D340)</f>
        <v>0</v>
      </c>
      <c r="E337" s="52">
        <f>SUM(E340)</f>
        <v>0</v>
      </c>
      <c r="F337" s="52">
        <f>SUM(F340)</f>
        <v>0</v>
      </c>
      <c r="G337" s="52"/>
      <c r="H337" s="50">
        <f>SUM(H340)</f>
        <v>0</v>
      </c>
      <c r="I337" s="50">
        <f>SUM(I340)</f>
        <v>0</v>
      </c>
      <c r="J337" s="52">
        <f>SUM(J340)</f>
        <v>0</v>
      </c>
      <c r="K337" s="52"/>
    </row>
    <row r="338" spans="1:11" s="5" customFormat="1" ht="27" customHeight="1" hidden="1">
      <c r="A338" s="49"/>
      <c r="B338" s="55" t="s">
        <v>20</v>
      </c>
      <c r="C338" s="58"/>
      <c r="D338" s="52"/>
      <c r="E338" s="52"/>
      <c r="F338" s="52"/>
      <c r="G338" s="59"/>
      <c r="H338" s="50"/>
      <c r="I338" s="50"/>
      <c r="J338" s="59"/>
      <c r="K338" s="59"/>
    </row>
    <row r="339" spans="1:11" s="5" customFormat="1" ht="29.25" customHeight="1" hidden="1">
      <c r="A339" s="49"/>
      <c r="B339" s="56" t="s">
        <v>21</v>
      </c>
      <c r="C339" s="58"/>
      <c r="D339" s="52"/>
      <c r="E339" s="22">
        <f>D339+F339</f>
        <v>0</v>
      </c>
      <c r="F339" s="22"/>
      <c r="G339" s="59"/>
      <c r="H339" s="50"/>
      <c r="I339" s="50"/>
      <c r="J339" s="59"/>
      <c r="K339" s="59"/>
    </row>
    <row r="340" spans="1:11" s="5" customFormat="1" ht="29.25" customHeight="1" hidden="1">
      <c r="A340" s="49"/>
      <c r="B340" s="55" t="s">
        <v>22</v>
      </c>
      <c r="C340" s="58"/>
      <c r="D340" s="52"/>
      <c r="E340" s="22">
        <f>D340+F340</f>
        <v>0</v>
      </c>
      <c r="F340" s="22"/>
      <c r="G340" s="52"/>
      <c r="H340" s="50"/>
      <c r="I340" s="50"/>
      <c r="J340" s="52"/>
      <c r="K340" s="52"/>
    </row>
    <row r="341" spans="1:11" s="5" customFormat="1" ht="63" customHeight="1" hidden="1">
      <c r="A341" s="49" t="s">
        <v>89</v>
      </c>
      <c r="B341" s="62" t="s">
        <v>59</v>
      </c>
      <c r="C341" s="58" t="s">
        <v>47</v>
      </c>
      <c r="D341" s="52">
        <f>SUM(D344)</f>
        <v>0</v>
      </c>
      <c r="E341" s="52">
        <f>SUM(E344)</f>
        <v>0</v>
      </c>
      <c r="F341" s="52">
        <f>SUM(F344)</f>
        <v>0</v>
      </c>
      <c r="G341" s="52"/>
      <c r="H341" s="50">
        <f>SUM(H344)</f>
        <v>0</v>
      </c>
      <c r="I341" s="50">
        <f>SUM(I344)</f>
        <v>0</v>
      </c>
      <c r="J341" s="52">
        <f>SUM(J344)</f>
        <v>0</v>
      </c>
      <c r="K341" s="52"/>
    </row>
    <row r="342" spans="1:11" s="5" customFormat="1" ht="27" customHeight="1" hidden="1">
      <c r="A342" s="49"/>
      <c r="B342" s="55" t="s">
        <v>20</v>
      </c>
      <c r="C342" s="58"/>
      <c r="D342" s="52"/>
      <c r="E342" s="52"/>
      <c r="F342" s="52"/>
      <c r="G342" s="52"/>
      <c r="H342" s="50"/>
      <c r="I342" s="50"/>
      <c r="J342" s="52"/>
      <c r="K342" s="52"/>
    </row>
    <row r="343" spans="1:11" s="5" customFormat="1" ht="29.25" customHeight="1" hidden="1">
      <c r="A343" s="49"/>
      <c r="B343" s="56" t="s">
        <v>21</v>
      </c>
      <c r="C343" s="58"/>
      <c r="D343" s="52"/>
      <c r="E343" s="22">
        <f>D343+F343</f>
        <v>0</v>
      </c>
      <c r="F343" s="22"/>
      <c r="G343" s="52"/>
      <c r="H343" s="50"/>
      <c r="I343" s="50"/>
      <c r="J343" s="52"/>
      <c r="K343" s="52"/>
    </row>
    <row r="344" spans="1:11" s="5" customFormat="1" ht="29.25" customHeight="1" hidden="1">
      <c r="A344" s="49"/>
      <c r="B344" s="55" t="s">
        <v>22</v>
      </c>
      <c r="C344" s="58"/>
      <c r="D344" s="52"/>
      <c r="E344" s="22">
        <f>D344+F344</f>
        <v>0</v>
      </c>
      <c r="F344" s="22"/>
      <c r="G344" s="52"/>
      <c r="H344" s="50"/>
      <c r="I344" s="50"/>
      <c r="J344" s="52"/>
      <c r="K344" s="52"/>
    </row>
    <row r="345" spans="1:11" s="5" customFormat="1" ht="63" customHeight="1" hidden="1">
      <c r="A345" s="49" t="s">
        <v>90</v>
      </c>
      <c r="B345" s="62" t="s">
        <v>60</v>
      </c>
      <c r="C345" s="58" t="s">
        <v>47</v>
      </c>
      <c r="D345" s="52">
        <f>SUM(D348)</f>
        <v>0</v>
      </c>
      <c r="E345" s="52">
        <f>SUM(E348)</f>
        <v>0</v>
      </c>
      <c r="F345" s="52">
        <f>SUM(F348)</f>
        <v>0</v>
      </c>
      <c r="G345" s="52"/>
      <c r="H345" s="50">
        <f>SUM(H348)</f>
        <v>0</v>
      </c>
      <c r="I345" s="50">
        <f>SUM(I348)</f>
        <v>0</v>
      </c>
      <c r="J345" s="52">
        <f>SUM(J348)</f>
        <v>0</v>
      </c>
      <c r="K345" s="52"/>
    </row>
    <row r="346" spans="1:11" s="5" customFormat="1" ht="27" customHeight="1" hidden="1">
      <c r="A346" s="49"/>
      <c r="B346" s="55" t="s">
        <v>20</v>
      </c>
      <c r="C346" s="58"/>
      <c r="D346" s="52"/>
      <c r="E346" s="52"/>
      <c r="F346" s="52"/>
      <c r="G346" s="52"/>
      <c r="H346" s="50"/>
      <c r="I346" s="50"/>
      <c r="J346" s="52"/>
      <c r="K346" s="52"/>
    </row>
    <row r="347" spans="1:11" s="5" customFormat="1" ht="29.25" customHeight="1" hidden="1">
      <c r="A347" s="49"/>
      <c r="B347" s="56" t="s">
        <v>21</v>
      </c>
      <c r="C347" s="58"/>
      <c r="D347" s="52"/>
      <c r="E347" s="22">
        <f>D347+F347</f>
        <v>0</v>
      </c>
      <c r="F347" s="22"/>
      <c r="G347" s="52"/>
      <c r="H347" s="50"/>
      <c r="I347" s="50"/>
      <c r="J347" s="52"/>
      <c r="K347" s="52"/>
    </row>
    <row r="348" spans="1:11" s="5" customFormat="1" ht="29.25" customHeight="1" hidden="1">
      <c r="A348" s="49"/>
      <c r="B348" s="55" t="s">
        <v>22</v>
      </c>
      <c r="C348" s="58"/>
      <c r="D348" s="52"/>
      <c r="E348" s="22">
        <f>D348+F348</f>
        <v>0</v>
      </c>
      <c r="F348" s="22"/>
      <c r="G348" s="52"/>
      <c r="H348" s="50"/>
      <c r="I348" s="50"/>
      <c r="J348" s="52"/>
      <c r="K348" s="52"/>
    </row>
    <row r="349" spans="1:11" s="5" customFormat="1" ht="63" customHeight="1" hidden="1">
      <c r="A349" s="49" t="s">
        <v>91</v>
      </c>
      <c r="B349" s="62" t="s">
        <v>61</v>
      </c>
      <c r="C349" s="58" t="s">
        <v>47</v>
      </c>
      <c r="D349" s="52">
        <f>SUM(D352)</f>
        <v>0</v>
      </c>
      <c r="E349" s="52">
        <f>SUM(E352)</f>
        <v>0</v>
      </c>
      <c r="F349" s="52">
        <f>SUM(F352)</f>
        <v>0</v>
      </c>
      <c r="G349" s="52"/>
      <c r="H349" s="50">
        <f>SUM(H352)</f>
        <v>0</v>
      </c>
      <c r="I349" s="50">
        <f>SUM(I352)</f>
        <v>0</v>
      </c>
      <c r="J349" s="52">
        <f>SUM(J352)</f>
        <v>0</v>
      </c>
      <c r="K349" s="52"/>
    </row>
    <row r="350" spans="1:11" s="5" customFormat="1" ht="27" customHeight="1" hidden="1">
      <c r="A350" s="49"/>
      <c r="B350" s="55" t="s">
        <v>20</v>
      </c>
      <c r="C350" s="58"/>
      <c r="D350" s="52"/>
      <c r="E350" s="52"/>
      <c r="F350" s="52"/>
      <c r="G350" s="52"/>
      <c r="H350" s="50"/>
      <c r="I350" s="50"/>
      <c r="J350" s="52"/>
      <c r="K350" s="52"/>
    </row>
    <row r="351" spans="1:11" s="5" customFormat="1" ht="29.25" customHeight="1" hidden="1">
      <c r="A351" s="49"/>
      <c r="B351" s="56" t="s">
        <v>21</v>
      </c>
      <c r="C351" s="58"/>
      <c r="D351" s="52"/>
      <c r="E351" s="22">
        <f>D351+F351</f>
        <v>0</v>
      </c>
      <c r="F351" s="22"/>
      <c r="G351" s="52"/>
      <c r="H351" s="50"/>
      <c r="I351" s="50"/>
      <c r="J351" s="52"/>
      <c r="K351" s="52"/>
    </row>
    <row r="352" spans="1:11" s="5" customFormat="1" ht="29.25" customHeight="1" hidden="1">
      <c r="A352" s="49"/>
      <c r="B352" s="55" t="s">
        <v>22</v>
      </c>
      <c r="C352" s="58"/>
      <c r="D352" s="52"/>
      <c r="E352" s="22">
        <f>D352+F352</f>
        <v>0</v>
      </c>
      <c r="F352" s="22"/>
      <c r="G352" s="52"/>
      <c r="H352" s="50"/>
      <c r="I352" s="50"/>
      <c r="J352" s="52"/>
      <c r="K352" s="52"/>
    </row>
    <row r="353" ht="65.25" customHeight="1" hidden="1"/>
    <row r="354" ht="65.25" customHeight="1">
      <c r="G354" s="106" t="s">
        <v>217</v>
      </c>
    </row>
    <row r="355" spans="1:14" ht="36.75" customHeight="1">
      <c r="A355" s="112" t="s">
        <v>218</v>
      </c>
      <c r="B355" s="112"/>
      <c r="D355" s="112" t="s">
        <v>215</v>
      </c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</row>
    <row r="356" spans="4:11" ht="11.25" customHeight="1">
      <c r="D356" s="57"/>
      <c r="E356" s="57"/>
      <c r="F356" s="57"/>
      <c r="G356" s="66"/>
      <c r="H356" s="66"/>
      <c r="I356" s="6"/>
      <c r="J356" s="67"/>
      <c r="K356" s="6"/>
    </row>
    <row r="357" spans="1:14" ht="27.75" customHeight="1">
      <c r="A357" s="114" t="s">
        <v>214</v>
      </c>
      <c r="B357" s="114"/>
      <c r="D357" s="57"/>
      <c r="E357" s="114" t="s">
        <v>216</v>
      </c>
      <c r="F357" s="114"/>
      <c r="G357" s="114"/>
      <c r="H357" s="68"/>
      <c r="I357" s="107" t="s">
        <v>8</v>
      </c>
      <c r="J357" s="107"/>
      <c r="K357" s="107"/>
      <c r="L357" s="107"/>
      <c r="M357" s="107"/>
      <c r="N357" s="107"/>
    </row>
    <row r="358" spans="1:14" s="5" customFormat="1" ht="27.75" customHeight="1">
      <c r="A358" s="69"/>
      <c r="B358" s="10"/>
      <c r="C358" s="9"/>
      <c r="D358" s="70"/>
      <c r="E358" s="70"/>
      <c r="F358" s="70"/>
      <c r="G358" s="70"/>
      <c r="H358" s="71"/>
      <c r="I358" s="72"/>
      <c r="J358" s="73"/>
      <c r="K358" s="74"/>
      <c r="L358" s="74"/>
      <c r="M358" s="74"/>
      <c r="N358" s="75"/>
    </row>
    <row r="359" ht="30" customHeight="1"/>
    <row r="360" spans="2:11" s="63" customFormat="1" ht="27.75" customHeight="1" hidden="1">
      <c r="B360" s="6"/>
      <c r="C360" s="6"/>
      <c r="D360" s="89"/>
      <c r="E360" s="89"/>
      <c r="F360" s="89"/>
      <c r="G360" s="65"/>
      <c r="H360" s="64"/>
      <c r="I360" s="64"/>
      <c r="J360" s="65"/>
      <c r="K360" s="65"/>
    </row>
  </sheetData>
  <sheetProtection/>
  <mergeCells count="28">
    <mergeCell ref="E1:N1"/>
    <mergeCell ref="E2:N2"/>
    <mergeCell ref="E3:N3"/>
    <mergeCell ref="E4:N4"/>
    <mergeCell ref="A6:N6"/>
    <mergeCell ref="E8:N8"/>
    <mergeCell ref="E9:N9"/>
    <mergeCell ref="E10:N10"/>
    <mergeCell ref="E11:N11"/>
    <mergeCell ref="A13:N13"/>
    <mergeCell ref="A14:J14"/>
    <mergeCell ref="A15:J15"/>
    <mergeCell ref="A357:B357"/>
    <mergeCell ref="E357:G357"/>
    <mergeCell ref="A16:A17"/>
    <mergeCell ref="B16:B17"/>
    <mergeCell ref="C16:C17"/>
    <mergeCell ref="D16:D17"/>
    <mergeCell ref="I357:N357"/>
    <mergeCell ref="G16:G17"/>
    <mergeCell ref="H16:H17"/>
    <mergeCell ref="I16:I17"/>
    <mergeCell ref="J16:J17"/>
    <mergeCell ref="A129:J129"/>
    <mergeCell ref="A355:B355"/>
    <mergeCell ref="D355:N355"/>
    <mergeCell ref="E16:E17"/>
    <mergeCell ref="F16:F17"/>
  </mergeCells>
  <printOptions horizontalCentered="1"/>
  <pageMargins left="0.7874015748031497" right="0.5905511811023623" top="0.5905511811023623" bottom="0.3937007874015748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407-4</dc:creator>
  <cp:keywords/>
  <dc:description/>
  <cp:lastModifiedBy>Пользователь</cp:lastModifiedBy>
  <cp:lastPrinted>2019-03-27T06:10:24Z</cp:lastPrinted>
  <dcterms:created xsi:type="dcterms:W3CDTF">2009-10-06T08:36:16Z</dcterms:created>
  <dcterms:modified xsi:type="dcterms:W3CDTF">2019-03-27T11:10:27Z</dcterms:modified>
  <cp:category/>
  <cp:version/>
  <cp:contentType/>
  <cp:contentStatus/>
</cp:coreProperties>
</file>